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ailmissouri-my.sharepoint.com/personal/jacksonla_umsystem_edu/Documents/Desktop/Desktop 3-28/Website/FruitsandVeggies Project/New spreadsheets Sept 2025/"/>
    </mc:Choice>
  </mc:AlternateContent>
  <xr:revisionPtr revIDLastSave="2440" documentId="8_{17EA8F40-1BFD-4775-B660-129718E3041E}" xr6:coauthVersionLast="47" xr6:coauthVersionMax="47" xr10:uidLastSave="{10BE3EC2-97FB-4B3A-95F0-C9CF5D91FD98}"/>
  <bookViews>
    <workbookView xWindow="5064" yWindow="840" windowWidth="17328" windowHeight="10296"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Budget!$B$2:$R$44</definedName>
    <definedName name="_xlnm.Print_Area" localSheetId="2">'Financial Sensitivity'!$B$1:$K$37</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H5" i="4"/>
  <c r="Q38" i="1"/>
  <c r="Q37" i="1"/>
  <c r="N38" i="1"/>
  <c r="N37" i="1"/>
  <c r="K38" i="1"/>
  <c r="K37" i="1"/>
  <c r="H38" i="1"/>
  <c r="H37" i="1"/>
  <c r="Q29" i="1"/>
  <c r="N29" i="1"/>
  <c r="H29" i="1"/>
  <c r="K29" i="1"/>
  <c r="H19" i="1"/>
  <c r="H20" i="1"/>
  <c r="H21" i="1"/>
  <c r="H23" i="1"/>
  <c r="H24" i="1"/>
  <c r="H25" i="1"/>
  <c r="H26" i="1"/>
  <c r="H27" i="1"/>
  <c r="H28" i="1"/>
  <c r="H22" i="1"/>
  <c r="K19" i="1"/>
  <c r="K20" i="1"/>
  <c r="K21" i="1"/>
  <c r="K23" i="1"/>
  <c r="K24" i="1"/>
  <c r="K25" i="1"/>
  <c r="K26" i="1"/>
  <c r="K27" i="1"/>
  <c r="K28" i="1"/>
  <c r="K22" i="1"/>
  <c r="N19" i="1"/>
  <c r="N20" i="1"/>
  <c r="N21" i="1"/>
  <c r="N23" i="1"/>
  <c r="N24" i="1"/>
  <c r="N25" i="1"/>
  <c r="N26" i="1"/>
  <c r="N27" i="1"/>
  <c r="N28" i="1"/>
  <c r="N22" i="1"/>
  <c r="Q19" i="1"/>
  <c r="Q20" i="1"/>
  <c r="Q21" i="1"/>
  <c r="Q23" i="1"/>
  <c r="Q24" i="1"/>
  <c r="Q25" i="1"/>
  <c r="Q26" i="1"/>
  <c r="Q27" i="1"/>
  <c r="Q28" i="1"/>
  <c r="Q22" i="1"/>
  <c r="Q12" i="1" l="1"/>
  <c r="N12" i="1"/>
  <c r="K12" i="1"/>
  <c r="H12" i="1"/>
  <c r="Q11" i="1" l="1"/>
  <c r="N11" i="1"/>
  <c r="K11" i="1"/>
  <c r="H11" i="1"/>
  <c r="Q31" i="1" l="1"/>
  <c r="Q32" i="1"/>
  <c r="N31" i="1"/>
  <c r="N32" i="1"/>
  <c r="K31" i="1"/>
  <c r="K32" i="1"/>
  <c r="H31" i="1"/>
  <c r="H32" i="1"/>
  <c r="Q17" i="1"/>
  <c r="Q18" i="1"/>
  <c r="N17" i="1"/>
  <c r="N18" i="1"/>
  <c r="K17" i="1"/>
  <c r="K18" i="1"/>
  <c r="H17" i="1"/>
  <c r="H18" i="1"/>
  <c r="Q10" i="1"/>
  <c r="Q9" i="1"/>
  <c r="N10" i="1" l="1"/>
  <c r="K10" i="1"/>
  <c r="H10" i="1"/>
  <c r="H9" i="1"/>
  <c r="Q39" i="1"/>
  <c r="N39" i="1"/>
  <c r="K39" i="1"/>
  <c r="H39" i="1"/>
  <c r="H8" i="1"/>
  <c r="I5" i="4" l="1"/>
  <c r="J5" i="4" l="1"/>
  <c r="K5" i="4"/>
  <c r="G5" i="4"/>
  <c r="F5" i="4"/>
  <c r="E5" i="4"/>
  <c r="D8" i="4"/>
  <c r="D10" i="4"/>
  <c r="D11" i="4"/>
  <c r="D7" i="4"/>
  <c r="D12" i="4"/>
  <c r="D6" i="4"/>
  <c r="Q40" i="1" l="1"/>
  <c r="N40" i="1"/>
  <c r="K40" i="1"/>
  <c r="H40" i="1"/>
  <c r="Q16" i="1" l="1"/>
  <c r="N16" i="1"/>
  <c r="K16" i="1"/>
  <c r="H16" i="1"/>
  <c r="N9" i="1"/>
  <c r="K9" i="1"/>
  <c r="Q8" i="1"/>
  <c r="N8" i="1"/>
  <c r="K8" i="1"/>
  <c r="Q5" i="1"/>
  <c r="N5" i="1"/>
  <c r="K5" i="1"/>
  <c r="H5" i="1"/>
  <c r="Q6" i="1" l="1"/>
  <c r="N6" i="1"/>
  <c r="K6" i="1"/>
  <c r="H6" i="1"/>
  <c r="J33" i="1" l="1"/>
  <c r="K33" i="1" s="1"/>
  <c r="K34" i="1" s="1"/>
  <c r="P33" i="1"/>
  <c r="Q33" i="1" s="1"/>
  <c r="Q34" i="1" s="1"/>
  <c r="M33" i="1"/>
  <c r="N33" i="1" s="1"/>
  <c r="N34" i="1" s="1"/>
  <c r="G33" i="1"/>
  <c r="H33" i="1" s="1"/>
  <c r="H34" i="1" s="1"/>
  <c r="H35" i="1" l="1"/>
  <c r="H41" i="1" s="1"/>
  <c r="N35" i="1"/>
  <c r="N41" i="1" s="1"/>
  <c r="N43" i="1" s="1"/>
  <c r="Q35" i="1" l="1"/>
  <c r="K35" i="1"/>
  <c r="H43" i="1"/>
  <c r="H42" i="1"/>
  <c r="N42" i="1"/>
  <c r="K41" i="1" l="1"/>
  <c r="K23" i="4"/>
  <c r="H22" i="4"/>
  <c r="F19" i="4"/>
  <c r="K22" i="4"/>
  <c r="H20" i="4"/>
  <c r="K21" i="4"/>
  <c r="H19" i="4"/>
  <c r="K20" i="4"/>
  <c r="H18" i="4"/>
  <c r="K19" i="4"/>
  <c r="G24" i="4"/>
  <c r="J23" i="4"/>
  <c r="J22" i="4"/>
  <c r="J21" i="4"/>
  <c r="J20" i="4"/>
  <c r="G18" i="4"/>
  <c r="F24" i="4"/>
  <c r="J18" i="4"/>
  <c r="E24" i="4"/>
  <c r="F23" i="4"/>
  <c r="I23" i="4"/>
  <c r="I22" i="4"/>
  <c r="F22" i="4"/>
  <c r="H21" i="4"/>
  <c r="I20" i="4"/>
  <c r="E22" i="4"/>
  <c r="I19" i="4"/>
  <c r="I18" i="4"/>
  <c r="E21" i="4"/>
  <c r="E20" i="4"/>
  <c r="K24" i="4"/>
  <c r="F20" i="4"/>
  <c r="K18" i="4"/>
  <c r="G23" i="4"/>
  <c r="J24" i="4"/>
  <c r="G22" i="4"/>
  <c r="G21" i="4"/>
  <c r="G20" i="4"/>
  <c r="G19" i="4"/>
  <c r="J19" i="4"/>
  <c r="I24" i="4"/>
  <c r="E23" i="4"/>
  <c r="I21" i="4"/>
  <c r="F21" i="4"/>
  <c r="H24" i="4"/>
  <c r="H23" i="4"/>
  <c r="F18" i="4"/>
  <c r="E19" i="4"/>
  <c r="E18" i="4"/>
  <c r="Q41" i="1"/>
  <c r="Q42" i="1"/>
  <c r="K42" i="1"/>
  <c r="K43" i="1" l="1"/>
  <c r="I9" i="4"/>
  <c r="H9" i="4"/>
  <c r="E9" i="4"/>
  <c r="H7" i="4"/>
  <c r="J8" i="4"/>
  <c r="G7" i="4"/>
  <c r="K8" i="4"/>
  <c r="F7" i="4"/>
  <c r="I8" i="4"/>
  <c r="J7" i="4"/>
  <c r="J9" i="4"/>
  <c r="E6" i="4"/>
  <c r="I11" i="4"/>
  <c r="H6" i="4"/>
  <c r="G11" i="4"/>
  <c r="K11" i="4"/>
  <c r="H11" i="4"/>
  <c r="J11" i="4"/>
  <c r="H10" i="4"/>
  <c r="F10" i="4"/>
  <c r="G12" i="4"/>
  <c r="I10" i="4"/>
  <c r="G10" i="4"/>
  <c r="E12" i="4"/>
  <c r="K10" i="4"/>
  <c r="K12" i="4"/>
  <c r="K7" i="4"/>
  <c r="E7" i="4"/>
  <c r="I7" i="4"/>
  <c r="F9" i="4"/>
  <c r="K9" i="4"/>
  <c r="E11" i="4"/>
  <c r="F11" i="4"/>
  <c r="F6" i="4"/>
  <c r="G6" i="4"/>
  <c r="K6" i="4"/>
  <c r="J6" i="4"/>
  <c r="I6" i="4"/>
  <c r="J12" i="4"/>
  <c r="E10" i="4"/>
  <c r="F12" i="4"/>
  <c r="H12" i="4"/>
  <c r="J10" i="4"/>
  <c r="I12" i="4"/>
  <c r="F8" i="4"/>
  <c r="E8" i="4"/>
  <c r="H8" i="4"/>
  <c r="G8" i="4"/>
  <c r="G9" i="4"/>
  <c r="Q43" i="1"/>
  <c r="E37" i="4" l="1"/>
  <c r="E36" i="4"/>
</calcChain>
</file>

<file path=xl/sharedStrings.xml><?xml version="1.0" encoding="utf-8"?>
<sst xmlns="http://schemas.openxmlformats.org/spreadsheetml/2006/main" count="160" uniqueCount="97">
  <si>
    <t>Updated: 1/2025</t>
  </si>
  <si>
    <t>This worksheet is for educational purposes only and the user assumes all risks associated with its use.</t>
  </si>
  <si>
    <t>Revenue</t>
  </si>
  <si>
    <t>Unit</t>
  </si>
  <si>
    <t>Price
per unit</t>
  </si>
  <si>
    <t xml:space="preserve"> Quantity</t>
  </si>
  <si>
    <t>Dollars 
per acre</t>
  </si>
  <si>
    <t>Dollars
per acre</t>
  </si>
  <si>
    <t>each</t>
  </si>
  <si>
    <t>soil test</t>
  </si>
  <si>
    <t>acre</t>
  </si>
  <si>
    <t>pound</t>
  </si>
  <si>
    <t>percent</t>
  </si>
  <si>
    <t>Total costs</t>
  </si>
  <si>
    <t>Return over total costs</t>
  </si>
  <si>
    <t>Net present value of net returns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</si>
  <si>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</si>
  <si>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</si>
  <si>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</si>
  <si>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</si>
  <si>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</si>
  <si>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</si>
  <si>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</si>
  <si>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</si>
  <si>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</si>
  <si>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</si>
  <si>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</si>
  <si>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</si>
  <si>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</si>
  <si>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</si>
  <si>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</si>
  <si>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</si>
  <si>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</si>
  <si>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</si>
  <si>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Required rate of return</t>
  </si>
  <si>
    <t xml:space="preserve">Will this business be profitable? Explore profitability with net present values and average returns per year. </t>
  </si>
  <si>
    <t>Develop a customized budget by adjusting the assumptions in gray cells to match the management practices and expected yields and prices for your farm.</t>
  </si>
  <si>
    <t>% of sales</t>
  </si>
  <si>
    <t xml:space="preserve">Budget created by Peter Zimmel, Food and Agricultural Policy Institute (FAPRI). Prices were updated January 2025. Access online at muext.us/MissouriAgBudgets. </t>
  </si>
  <si>
    <t>hour</t>
  </si>
  <si>
    <t>Labor</t>
  </si>
  <si>
    <t>Packaging</t>
  </si>
  <si>
    <t xml:space="preserve">Marketing </t>
  </si>
  <si>
    <t>Fresh berry sales</t>
  </si>
  <si>
    <t>Plants</t>
  </si>
  <si>
    <t>Soil test</t>
  </si>
  <si>
    <t>Irrigation</t>
  </si>
  <si>
    <t>Interest on operating capital</t>
  </si>
  <si>
    <t>Land</t>
  </si>
  <si>
    <t>Pounds per acre</t>
  </si>
  <si>
    <t>Price per pound</t>
  </si>
  <si>
    <t xml:space="preserve">Strawberry Enterprise Budget for Missouri </t>
  </si>
  <si>
    <t xml:space="preserve">This budget models 1-acre of open field strawberry production from establishment through 3 years of production. </t>
  </si>
  <si>
    <t>Strawberry Enterprise Budget</t>
  </si>
  <si>
    <t>Year 1  
establishment</t>
  </si>
  <si>
    <t>Year 2 
first production</t>
  </si>
  <si>
    <t xml:space="preserve">Year 3 
second production </t>
  </si>
  <si>
    <t>Year 4
third production</t>
  </si>
  <si>
    <t>Cover crop seed</t>
  </si>
  <si>
    <t>bale</t>
  </si>
  <si>
    <t>Straw mulch (large round)</t>
  </si>
  <si>
    <t>Fertilizer</t>
  </si>
  <si>
    <t>Pesticides</t>
  </si>
  <si>
    <t>Irrigation (drip and overhead)</t>
  </si>
  <si>
    <t>Cover crop</t>
  </si>
  <si>
    <t>Land preparation (trench)</t>
  </si>
  <si>
    <t>Remove mulch</t>
  </si>
  <si>
    <t>Fertilizer spreading</t>
  </si>
  <si>
    <t>Transplanting</t>
  </si>
  <si>
    <t>Hand hoeing</t>
  </si>
  <si>
    <t>Mowing</t>
  </si>
  <si>
    <t>Renovation</t>
  </si>
  <si>
    <t>Remove blossoms</t>
  </si>
  <si>
    <t>Mulching</t>
  </si>
  <si>
    <t>Pest management</t>
  </si>
  <si>
    <t>Harvest</t>
  </si>
  <si>
    <t>Extra weed control</t>
  </si>
  <si>
    <t>Irrigation setup/tear down</t>
  </si>
  <si>
    <t>quart</t>
  </si>
  <si>
    <t>Containers</t>
  </si>
  <si>
    <t>Trays</t>
  </si>
  <si>
    <t>Machinery</t>
  </si>
  <si>
    <t>Explore annual profitability expectations (per acre returns over total costs) under varying yield and price scenarios in first production year and holding costs constant. Modify gray cells for further exploration.</t>
  </si>
  <si>
    <t>Strawberry Price and Yield Sensitivity Table</t>
  </si>
  <si>
    <t xml:space="preserve">Explore estimated annual per acre returns over total costs under varying revenue and cost scenarios in first production year. </t>
  </si>
  <si>
    <t xml:space="preserve">  NPV years 1-4</t>
  </si>
  <si>
    <t xml:space="preserve">  NPV years 1-2</t>
  </si>
  <si>
    <r>
      <rPr>
        <b/>
        <sz val="12"/>
        <color theme="1"/>
        <rFont val="Aptos"/>
        <family val="2"/>
        <scheme val="minor"/>
      </rPr>
      <t>Breakeven:</t>
    </r>
    <r>
      <rPr>
        <sz val="12"/>
        <color theme="1"/>
        <rFont val="Aptos"/>
        <family val="2"/>
        <scheme val="minor"/>
      </rPr>
      <t xml:space="preserve"> The modeled 1 acre strawberry farm is expected to 'breakeven' (cover investment and operating costs) in year 2 (NPV becomes positive). </t>
    </r>
  </si>
  <si>
    <r>
      <rPr>
        <b/>
        <sz val="12"/>
        <color theme="1"/>
        <rFont val="Aptos"/>
        <family val="2"/>
        <scheme val="minor"/>
      </rPr>
      <t xml:space="preserve">The required rate of return </t>
    </r>
    <r>
      <rPr>
        <sz val="12"/>
        <color theme="1"/>
        <rFont val="Aptos"/>
        <family val="2"/>
        <scheme val="minor"/>
      </rPr>
      <t>reflects</t>
    </r>
    <r>
      <rPr>
        <b/>
        <sz val="12"/>
        <color theme="1"/>
        <rFont val="Aptos"/>
        <family val="2"/>
        <scheme val="minor"/>
      </rPr>
      <t xml:space="preserve"> </t>
    </r>
    <r>
      <rPr>
        <sz val="12"/>
        <color theme="1"/>
        <rFont val="Aptos"/>
        <family val="2"/>
        <scheme val="minor"/>
      </rPr>
      <t xml:space="preserve">the opportunity cost of capital, the desired rate of return, riskiness of the investment and allows you to compare potential financial performance of investing in an strawberry orchard to other investments. It is used to calculate a discount rate in the NPV formula which also accounts for the time value of money (assuming inflation continues - dollars received in the future are worth less than dollars received today). </t>
    </r>
  </si>
  <si>
    <t>Average Returns Per Year and Net Present Values in Years 2 and 4</t>
  </si>
  <si>
    <r>
      <t>The</t>
    </r>
    <r>
      <rPr>
        <b/>
        <sz val="12"/>
        <color theme="1"/>
        <rFont val="Aptos"/>
        <family val="2"/>
        <scheme val="minor"/>
      </rPr>
      <t xml:space="preserve"> Net Present Value of net returns (NPV)</t>
    </r>
    <r>
      <rPr>
        <sz val="12"/>
        <color theme="1"/>
        <rFont val="Aptos"/>
        <family val="2"/>
        <scheme val="minor"/>
      </rPr>
      <t xml:space="preserve"> calculates the value of expected cash flows after subtracting intial investment costs over a period discounted to the present. Positive NPVs indicate the business is profitable. For example based on the existing model assumptions, the strawberry orchard is expected to return $15,801.07 in today's dollars factoring in a 6% required rate of return after four years.</t>
    </r>
  </si>
  <si>
    <t xml:space="preserve">For budget questions, contact: </t>
  </si>
  <si>
    <t>Ryan Milhollin, MU Extension</t>
  </si>
  <si>
    <t xml:space="preserve">For horticulture expertise, contact: </t>
  </si>
  <si>
    <t>MU Commercial Horticulture Team</t>
  </si>
  <si>
    <t>Developed by: Peter Zimmel, FAPRI</t>
  </si>
  <si>
    <t>Strawberry Operating Costs and Revenue Sensitivity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</si>
</sst>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s>
  <fonts count="26" x14ac:knownFonts="1">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b/>
      <sz val="12"/>
      <color theme="1"/>
      <name val="Aptos"/>
      <family val="2"/>
      <scheme val="minor"/>
    </font>
    <font>
      <b/>
      <sz val="12"/>
      <color rgb="FFFDB719"/>
      <name val="Aptos Black"/>
      <family val="2"/>
      <scheme val="major"/>
    </font>
    <font>
      <b/>
      <sz val="11"/>
      <name val="Aptos"/>
      <family val="2"/>
      <scheme val="minor"/>
    </font>
    <font>
      <u/>
      <sz val="11"/>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u/>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b/>
      <sz val="12"/>
      <color rgb="FFF1B82D"/>
      <name val="Aptos Black"/>
      <family val="2"/>
      <scheme val="major"/>
    </font>
    <font>
      <sz val="8"/>
      <name val="Aptos"/>
      <family val="2"/>
      <scheme val="minor"/>
    </font>
    <font>
      <u/>
      <sz val="11"/>
      <color theme="10"/>
      <name val="Aptos"/>
      <family val="2"/>
      <scheme val="minor"/>
    </font>
    <font>
      <b/>
      <u/>
      <sz val="12"/>
      <color theme="10"/>
      <name val="Aptos"/>
      <family val="2"/>
      <scheme val="minor"/>
    </font>
  </fonts>
  <fills count="7">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
      <patternFill patternType="solid">
        <fgColor theme="7"/>
        <bgColor indexed="64"/>
      </patternFill>
    </fill>
  </fills>
  <borders count="28">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6">
    <xf numFmtId="0" fontId="0" fillId="0" borderId="0"/>
    <xf numFmtId="9" fontId="1" fillId="0" borderId="0" applyFont="0" applyFill="0" applyBorder="0" applyAlignment="0" applyProtection="0"/>
    <xf numFmtId="0" fontId="9" fillId="4" borderId="4" applyNumberFormat="0" applyAlignment="0" applyProtection="0"/>
    <xf numFmtId="0" fontId="1" fillId="0" borderId="0"/>
    <xf numFmtId="44" fontId="1" fillId="0" borderId="0" applyFont="0" applyFill="0" applyBorder="0" applyAlignment="0" applyProtection="0"/>
    <xf numFmtId="0" fontId="24" fillId="0" borderId="0" applyNumberFormat="0" applyFill="0" applyBorder="0" applyAlignment="0" applyProtection="0"/>
  </cellStyleXfs>
  <cellXfs count="150">
    <xf numFmtId="0" fontId="0" fillId="0" borderId="0" xfId="0"/>
    <xf numFmtId="0" fontId="2" fillId="0" borderId="0" xfId="0" applyFont="1"/>
    <xf numFmtId="0" fontId="10" fillId="5" borderId="0" xfId="0" applyFont="1" applyFill="1"/>
    <xf numFmtId="0" fontId="10" fillId="0" borderId="0" xfId="0" applyFont="1"/>
    <xf numFmtId="0" fontId="0" fillId="5" borderId="0" xfId="0" applyFill="1"/>
    <xf numFmtId="0" fontId="3" fillId="5" borderId="0" xfId="0" applyFont="1" applyFill="1" applyAlignment="1">
      <alignment horizontal="left" indent="4"/>
    </xf>
    <xf numFmtId="0" fontId="12" fillId="5" borderId="0" xfId="0" applyFont="1" applyFill="1"/>
    <xf numFmtId="0" fontId="12" fillId="0" borderId="0" xfId="0" applyFont="1"/>
    <xf numFmtId="0" fontId="12" fillId="0" borderId="0" xfId="0" applyFont="1" applyAlignment="1">
      <alignment wrapText="1"/>
    </xf>
    <xf numFmtId="0" fontId="4" fillId="5" borderId="0" xfId="0" applyFont="1" applyFill="1"/>
    <xf numFmtId="0" fontId="15" fillId="0" borderId="0" xfId="0" applyFont="1"/>
    <xf numFmtId="164" fontId="12" fillId="2" borderId="0" xfId="4" applyNumberFormat="1" applyFont="1" applyFill="1" applyProtection="1">
      <protection locked="0"/>
    </xf>
    <xf numFmtId="166" fontId="12" fillId="2" borderId="0" xfId="0" applyNumberFormat="1" applyFont="1" applyFill="1" applyProtection="1">
      <protection locked="0"/>
    </xf>
    <xf numFmtId="9" fontId="12" fillId="2" borderId="0" xfId="1" applyFont="1" applyFill="1" applyProtection="1">
      <protection locked="0"/>
    </xf>
    <xf numFmtId="10" fontId="12" fillId="2" borderId="0" xfId="0" applyNumberFormat="1" applyFont="1" applyFill="1" applyProtection="1">
      <protection locked="0"/>
    </xf>
    <xf numFmtId="164" fontId="12" fillId="2" borderId="0" xfId="0" applyNumberFormat="1" applyFont="1" applyFill="1" applyProtection="1">
      <protection locked="0"/>
    </xf>
    <xf numFmtId="165" fontId="12" fillId="2" borderId="0" xfId="0" applyNumberFormat="1" applyFont="1" applyFill="1" applyProtection="1">
      <protection locked="0"/>
    </xf>
    <xf numFmtId="0" fontId="0" fillId="0" borderId="2" xfId="0" applyBorder="1"/>
    <xf numFmtId="0" fontId="0" fillId="0" borderId="11" xfId="0" applyBorder="1"/>
    <xf numFmtId="6" fontId="12" fillId="0" borderId="11" xfId="4" applyNumberFormat="1" applyFont="1" applyBorder="1" applyProtection="1"/>
    <xf numFmtId="6" fontId="12" fillId="0" borderId="18" xfId="4" applyNumberFormat="1" applyFont="1" applyBorder="1" applyProtection="1"/>
    <xf numFmtId="6" fontId="12" fillId="0" borderId="0" xfId="4" applyNumberFormat="1" applyFont="1" applyBorder="1" applyProtection="1"/>
    <xf numFmtId="6" fontId="12" fillId="0" borderId="13" xfId="4" applyNumberFormat="1" applyFont="1" applyBorder="1" applyProtection="1"/>
    <xf numFmtId="6" fontId="12" fillId="0" borderId="2" xfId="4" applyNumberFormat="1" applyFont="1" applyBorder="1" applyProtection="1"/>
    <xf numFmtId="6" fontId="12" fillId="0" borderId="14" xfId="4" applyNumberFormat="1" applyFont="1" applyBorder="1" applyProtection="1"/>
    <xf numFmtId="6" fontId="18" fillId="0" borderId="11" xfId="4" applyNumberFormat="1" applyFont="1" applyFill="1" applyBorder="1" applyProtection="1"/>
    <xf numFmtId="6" fontId="18" fillId="0" borderId="18" xfId="4" applyNumberFormat="1" applyFont="1" applyFill="1" applyBorder="1" applyProtection="1"/>
    <xf numFmtId="6" fontId="18" fillId="0" borderId="0" xfId="4" applyNumberFormat="1" applyFont="1" applyFill="1" applyBorder="1" applyProtection="1"/>
    <xf numFmtId="6" fontId="18" fillId="0" borderId="13" xfId="4" applyNumberFormat="1" applyFont="1" applyFill="1" applyBorder="1" applyProtection="1"/>
    <xf numFmtId="6" fontId="18" fillId="0" borderId="20" xfId="4" applyNumberFormat="1" applyFont="1" applyFill="1" applyBorder="1" applyProtection="1"/>
    <xf numFmtId="6" fontId="18" fillId="0" borderId="2" xfId="4" applyNumberFormat="1" applyFont="1" applyFill="1" applyBorder="1" applyProtection="1"/>
    <xf numFmtId="6" fontId="18" fillId="0" borderId="14" xfId="4" applyNumberFormat="1" applyFont="1" applyFill="1" applyBorder="1" applyProtection="1"/>
    <xf numFmtId="9" fontId="12" fillId="5" borderId="0" xfId="1" applyFont="1" applyFill="1" applyProtection="1"/>
    <xf numFmtId="9" fontId="12" fillId="5" borderId="0" xfId="1" applyFont="1" applyFill="1" applyBorder="1" applyProtection="1"/>
    <xf numFmtId="0" fontId="2" fillId="6" borderId="0" xfId="0" applyFont="1" applyFill="1"/>
    <xf numFmtId="0" fontId="4" fillId="5" borderId="0" xfId="0" applyFont="1" applyFill="1" applyAlignment="1">
      <alignment vertical="top" wrapText="1"/>
    </xf>
    <xf numFmtId="0" fontId="4" fillId="5" borderId="0" xfId="0" applyFont="1" applyFill="1" applyAlignment="1">
      <alignment horizontal="left" vertical="top"/>
    </xf>
    <xf numFmtId="0" fontId="8" fillId="0" borderId="0" xfId="0" applyFont="1"/>
    <xf numFmtId="0" fontId="12" fillId="3" borderId="16" xfId="0" applyFont="1" applyFill="1" applyBorder="1"/>
    <xf numFmtId="0" fontId="19" fillId="3" borderId="12" xfId="0" applyFont="1" applyFill="1" applyBorder="1" applyAlignment="1">
      <alignment horizontal="center" textRotation="90"/>
    </xf>
    <xf numFmtId="0" fontId="19" fillId="3" borderId="0" xfId="0" applyFont="1" applyFill="1" applyAlignment="1">
      <alignment horizontal="center" textRotation="90"/>
    </xf>
    <xf numFmtId="0" fontId="18" fillId="5" borderId="16" xfId="0" applyFont="1" applyFill="1" applyBorder="1" applyAlignment="1">
      <alignment horizontal="left" vertical="center"/>
    </xf>
    <xf numFmtId="0" fontId="18" fillId="5" borderId="12" xfId="0" applyFont="1" applyFill="1" applyBorder="1" applyAlignment="1">
      <alignment horizontal="left" vertical="center"/>
    </xf>
    <xf numFmtId="9" fontId="18" fillId="5" borderId="12" xfId="0" applyNumberFormat="1" applyFont="1" applyFill="1" applyBorder="1" applyAlignment="1">
      <alignment horizontal="left" vertical="center"/>
    </xf>
    <xf numFmtId="0" fontId="18" fillId="5" borderId="15" xfId="0" applyFont="1" applyFill="1" applyBorder="1" applyAlignment="1">
      <alignment horizontal="left" vertical="center"/>
    </xf>
    <xf numFmtId="0" fontId="12" fillId="3" borderId="26" xfId="0" applyFont="1" applyFill="1" applyBorder="1"/>
    <xf numFmtId="0" fontId="17" fillId="3" borderId="19" xfId="0" applyFont="1" applyFill="1" applyBorder="1"/>
    <xf numFmtId="3" fontId="12" fillId="0" borderId="1" xfId="0" applyNumberFormat="1" applyFont="1" applyBorder="1" applyAlignment="1">
      <alignment horizontal="right"/>
    </xf>
    <xf numFmtId="3" fontId="12" fillId="0" borderId="24" xfId="0" applyNumberFormat="1" applyFont="1" applyBorder="1" applyAlignment="1">
      <alignment horizontal="right"/>
    </xf>
    <xf numFmtId="0" fontId="19" fillId="3" borderId="12" xfId="0" applyFont="1" applyFill="1" applyBorder="1" applyAlignment="1">
      <alignment horizontal="center" vertical="center" textRotation="90"/>
    </xf>
    <xf numFmtId="2" fontId="12" fillId="0" borderId="17" xfId="0" applyNumberFormat="1" applyFont="1" applyBorder="1" applyAlignment="1">
      <alignment horizontal="left"/>
    </xf>
    <xf numFmtId="0" fontId="19" fillId="3" borderId="15" xfId="0" applyFont="1" applyFill="1" applyBorder="1" applyAlignment="1">
      <alignment horizontal="center" vertical="center" textRotation="90"/>
    </xf>
    <xf numFmtId="2" fontId="12" fillId="0" borderId="27" xfId="0" applyNumberFormat="1" applyFont="1" applyBorder="1" applyAlignment="1">
      <alignment horizontal="left"/>
    </xf>
    <xf numFmtId="0" fontId="12" fillId="5" borderId="0" xfId="0" applyFont="1" applyFill="1" applyAlignment="1">
      <alignment horizontal="left"/>
    </xf>
    <xf numFmtId="0" fontId="13" fillId="5" borderId="0" xfId="0" applyFont="1" applyFill="1"/>
    <xf numFmtId="0" fontId="12" fillId="5" borderId="0" xfId="0" applyFont="1" applyFill="1" applyAlignment="1">
      <alignment horizontal="right"/>
    </xf>
    <xf numFmtId="164" fontId="12" fillId="5" borderId="0" xfId="0" applyNumberFormat="1" applyFont="1" applyFill="1"/>
    <xf numFmtId="0" fontId="4" fillId="0" borderId="0" xfId="0" applyFont="1"/>
    <xf numFmtId="164" fontId="12" fillId="0" borderId="0" xfId="4" applyNumberFormat="1" applyFont="1" applyFill="1" applyProtection="1"/>
    <xf numFmtId="9" fontId="0" fillId="0" borderId="0" xfId="1" applyFont="1" applyFill="1" applyBorder="1" applyProtection="1"/>
    <xf numFmtId="0" fontId="10" fillId="5" borderId="0" xfId="0" applyFont="1" applyFill="1" applyAlignment="1">
      <alignment horizontal="center"/>
    </xf>
    <xf numFmtId="7" fontId="12" fillId="0" borderId="16" xfId="4" applyNumberFormat="1" applyFont="1" applyBorder="1" applyAlignment="1" applyProtection="1">
      <alignment horizontal="center"/>
    </xf>
    <xf numFmtId="7" fontId="12" fillId="0" borderId="12" xfId="4" applyNumberFormat="1" applyFont="1" applyBorder="1" applyAlignment="1" applyProtection="1">
      <alignment horizontal="center"/>
    </xf>
    <xf numFmtId="7" fontId="12" fillId="2" borderId="12" xfId="4" applyNumberFormat="1" applyFont="1" applyFill="1" applyBorder="1" applyAlignment="1" applyProtection="1">
      <alignment horizontal="center"/>
      <protection locked="0"/>
    </xf>
    <xf numFmtId="7" fontId="12" fillId="0" borderId="15" xfId="4" applyNumberFormat="1" applyFont="1" applyBorder="1" applyAlignment="1" applyProtection="1">
      <alignment horizontal="center"/>
    </xf>
    <xf numFmtId="6" fontId="18" fillId="0" borderId="16" xfId="4" applyNumberFormat="1" applyFont="1" applyFill="1" applyBorder="1" applyProtection="1"/>
    <xf numFmtId="6" fontId="18" fillId="0" borderId="12" xfId="4" applyNumberFormat="1" applyFont="1" applyFill="1" applyBorder="1" applyProtection="1"/>
    <xf numFmtId="6" fontId="18" fillId="0" borderId="15" xfId="4" applyNumberFormat="1" applyFont="1" applyFill="1" applyBorder="1" applyProtection="1"/>
    <xf numFmtId="6" fontId="12" fillId="0" borderId="20" xfId="4" applyNumberFormat="1" applyFont="1" applyFill="1" applyBorder="1" applyProtection="1"/>
    <xf numFmtId="6" fontId="12" fillId="0" borderId="16" xfId="4" applyNumberFormat="1" applyFont="1" applyFill="1" applyBorder="1" applyProtection="1"/>
    <xf numFmtId="6" fontId="12" fillId="0" borderId="11" xfId="4" applyNumberFormat="1" applyFont="1" applyFill="1" applyBorder="1" applyProtection="1"/>
    <xf numFmtId="6" fontId="12" fillId="0" borderId="12" xfId="4" applyNumberFormat="1" applyFont="1" applyFill="1" applyBorder="1" applyProtection="1"/>
    <xf numFmtId="6" fontId="12" fillId="0" borderId="0" xfId="4" applyNumberFormat="1" applyFont="1" applyFill="1" applyBorder="1" applyProtection="1"/>
    <xf numFmtId="6" fontId="12" fillId="0" borderId="15" xfId="4" applyNumberFormat="1" applyFont="1" applyFill="1" applyBorder="1" applyProtection="1"/>
    <xf numFmtId="6" fontId="12" fillId="0" borderId="2" xfId="4" applyNumberFormat="1" applyFont="1" applyFill="1" applyBorder="1" applyProtection="1"/>
    <xf numFmtId="0" fontId="5" fillId="0" borderId="0" xfId="0" applyFont="1"/>
    <xf numFmtId="0" fontId="18" fillId="0" borderId="0" xfId="0" applyFont="1"/>
    <xf numFmtId="0" fontId="16" fillId="0" borderId="1" xfId="0" applyFont="1" applyBorder="1"/>
    <xf numFmtId="0" fontId="6" fillId="0" borderId="1" xfId="0" applyFont="1" applyBorder="1" applyAlignment="1">
      <alignment horizontal="left" wrapText="1"/>
    </xf>
    <xf numFmtId="0" fontId="16" fillId="0" borderId="1" xfId="0" applyFont="1" applyBorder="1" applyAlignment="1">
      <alignment horizontal="center" wrapText="1"/>
    </xf>
    <xf numFmtId="0" fontId="16" fillId="0" borderId="0" xfId="0" applyFont="1" applyAlignment="1">
      <alignment horizontal="center" wrapText="1"/>
    </xf>
    <xf numFmtId="0" fontId="16" fillId="0" borderId="0" xfId="0" applyFont="1"/>
    <xf numFmtId="0" fontId="16" fillId="0" borderId="0" xfId="0" applyFont="1" applyAlignment="1">
      <alignment horizontal="center"/>
    </xf>
    <xf numFmtId="164" fontId="12" fillId="0" borderId="2" xfId="0" applyNumberFormat="1" applyFont="1" applyBorder="1"/>
    <xf numFmtId="0" fontId="4" fillId="0" borderId="0" xfId="0" applyFont="1" applyAlignment="1">
      <alignment horizontal="right"/>
    </xf>
    <xf numFmtId="164" fontId="12" fillId="0" borderId="0" xfId="0" applyNumberFormat="1" applyFont="1"/>
    <xf numFmtId="166" fontId="12" fillId="0" borderId="0" xfId="0" applyNumberFormat="1" applyFont="1"/>
    <xf numFmtId="165" fontId="12" fillId="0" borderId="0" xfId="0" applyNumberFormat="1" applyFont="1"/>
    <xf numFmtId="9" fontId="8" fillId="0" borderId="0" xfId="0" applyNumberFormat="1" applyFont="1" applyAlignment="1">
      <alignment horizontal="left"/>
    </xf>
    <xf numFmtId="9" fontId="12" fillId="0" borderId="0" xfId="0" applyNumberFormat="1" applyFont="1" applyAlignment="1">
      <alignment horizontal="left"/>
    </xf>
    <xf numFmtId="3" fontId="12" fillId="0" borderId="0" xfId="0" applyNumberFormat="1" applyFont="1"/>
    <xf numFmtId="164" fontId="13" fillId="0" borderId="0" xfId="0" applyNumberFormat="1" applyFont="1"/>
    <xf numFmtId="0" fontId="4" fillId="0" borderId="2" xfId="0" applyFont="1" applyBorder="1" applyAlignment="1">
      <alignment horizontal="right"/>
    </xf>
    <xf numFmtId="0" fontId="12" fillId="0" borderId="2" xfId="0" applyFont="1" applyBorder="1"/>
    <xf numFmtId="0" fontId="2" fillId="0" borderId="2" xfId="0" applyFont="1" applyBorder="1"/>
    <xf numFmtId="0" fontId="2" fillId="0" borderId="3" xfId="0" applyFont="1" applyBorder="1"/>
    <xf numFmtId="0" fontId="12" fillId="0" borderId="3" xfId="0" applyFont="1" applyBorder="1"/>
    <xf numFmtId="164" fontId="12" fillId="0" borderId="3" xfId="0" applyNumberFormat="1" applyFont="1" applyBorder="1"/>
    <xf numFmtId="0" fontId="7" fillId="0" borderId="0" xfId="0" applyFont="1"/>
    <xf numFmtId="0" fontId="2" fillId="0" borderId="0" xfId="0" applyFont="1" applyAlignment="1">
      <alignment wrapText="1"/>
    </xf>
    <xf numFmtId="0" fontId="0" fillId="0" borderId="0" xfId="0" applyAlignment="1">
      <alignment wrapText="1"/>
    </xf>
    <xf numFmtId="0" fontId="0" fillId="0" borderId="0" xfId="0" applyAlignment="1">
      <alignment horizontal="right"/>
    </xf>
    <xf numFmtId="164" fontId="0" fillId="0" borderId="0" xfId="0" applyNumberFormat="1"/>
    <xf numFmtId="0" fontId="4" fillId="5" borderId="0" xfId="0" applyFont="1" applyFill="1" applyAlignment="1">
      <alignment horizontal="right" vertical="top" wrapText="1"/>
    </xf>
    <xf numFmtId="0" fontId="25" fillId="5" borderId="0" xfId="5" applyFont="1" applyFill="1" applyAlignment="1">
      <alignment horizontal="left" vertical="top" wrapText="1"/>
    </xf>
    <xf numFmtId="0" fontId="4" fillId="5" borderId="0" xfId="0" applyFont="1" applyFill="1" applyAlignment="1">
      <alignment horizontal="left" vertical="top" wrapText="1"/>
    </xf>
    <xf numFmtId="0" fontId="12" fillId="3" borderId="23" xfId="0" applyFont="1" applyFill="1" applyBorder="1"/>
    <xf numFmtId="0" fontId="12" fillId="3" borderId="1" xfId="0" applyFont="1" applyFill="1" applyBorder="1"/>
    <xf numFmtId="0" fontId="18" fillId="5" borderId="23" xfId="0" applyFont="1" applyFill="1" applyBorder="1" applyAlignment="1">
      <alignment horizontal="right"/>
    </xf>
    <xf numFmtId="0" fontId="18" fillId="5" borderId="1" xfId="0" applyFont="1" applyFill="1" applyBorder="1" applyAlignment="1">
      <alignment horizontal="right"/>
    </xf>
    <xf numFmtId="0" fontId="18" fillId="5" borderId="24" xfId="0" applyFont="1" applyFill="1" applyBorder="1" applyAlignment="1">
      <alignment horizontal="right"/>
    </xf>
    <xf numFmtId="3" fontId="12" fillId="0" borderId="23" xfId="0" applyNumberFormat="1" applyFont="1" applyBorder="1"/>
    <xf numFmtId="3" fontId="12" fillId="0" borderId="1" xfId="0" applyNumberFormat="1" applyFont="1" applyBorder="1"/>
    <xf numFmtId="3" fontId="12" fillId="2" borderId="1" xfId="0" applyNumberFormat="1" applyFont="1" applyFill="1" applyBorder="1" applyProtection="1">
      <protection locked="0"/>
    </xf>
    <xf numFmtId="3" fontId="12" fillId="0" borderId="24" xfId="0" applyNumberFormat="1" applyFont="1" applyBorder="1"/>
    <xf numFmtId="0" fontId="17" fillId="3" borderId="21" xfId="0" applyFont="1" applyFill="1" applyBorder="1"/>
    <xf numFmtId="0" fontId="12" fillId="3" borderId="15" xfId="0" applyFont="1" applyFill="1" applyBorder="1"/>
    <xf numFmtId="0" fontId="12" fillId="3" borderId="2" xfId="0" applyFont="1" applyFill="1" applyBorder="1"/>
    <xf numFmtId="0" fontId="18" fillId="0" borderId="2" xfId="0" applyFont="1" applyBorder="1" applyAlignment="1">
      <alignment horizontal="center" wrapText="1"/>
    </xf>
    <xf numFmtId="0" fontId="20" fillId="3" borderId="23" xfId="0" applyFont="1" applyFill="1" applyBorder="1" applyAlignment="1">
      <alignment horizontal="center" wrapText="1"/>
    </xf>
    <xf numFmtId="0" fontId="20" fillId="3" borderId="1" xfId="0" applyFont="1" applyFill="1" applyBorder="1" applyAlignment="1">
      <alignment horizontal="center" wrapText="1"/>
    </xf>
    <xf numFmtId="0" fontId="0" fillId="0" borderId="0" xfId="0" applyAlignment="1">
      <alignment horizontal="left" wrapText="1"/>
    </xf>
    <xf numFmtId="164" fontId="0" fillId="0" borderId="0" xfId="0" applyNumberFormat="1" applyAlignment="1">
      <alignment horizontal="right"/>
    </xf>
    <xf numFmtId="0" fontId="4" fillId="0" borderId="11" xfId="0" applyFont="1" applyBorder="1" applyAlignment="1">
      <alignment horizontal="left"/>
    </xf>
    <xf numFmtId="0" fontId="4" fillId="0" borderId="3" xfId="0" applyFont="1" applyBorder="1" applyAlignment="1">
      <alignment horizontal="left"/>
    </xf>
    <xf numFmtId="0" fontId="11" fillId="3" borderId="5" xfId="0" applyFont="1" applyFill="1" applyBorder="1"/>
    <xf numFmtId="0" fontId="11" fillId="3" borderId="6" xfId="0" applyFont="1" applyFill="1" applyBorder="1"/>
    <xf numFmtId="0" fontId="21" fillId="3" borderId="5" xfId="3" applyFont="1" applyFill="1" applyBorder="1" applyAlignment="1">
      <alignment horizontal="center"/>
    </xf>
    <xf numFmtId="0" fontId="21" fillId="3" borderId="6" xfId="3" applyFont="1" applyFill="1" applyBorder="1" applyAlignment="1">
      <alignment horizontal="center"/>
    </xf>
    <xf numFmtId="0" fontId="21" fillId="3" borderId="7" xfId="3" applyFont="1" applyFill="1" applyBorder="1" applyAlignment="1">
      <alignment horizontal="center"/>
    </xf>
    <xf numFmtId="0" fontId="12" fillId="5" borderId="0" xfId="0" applyFont="1" applyFill="1" applyAlignment="1">
      <alignment horizontal="right"/>
    </xf>
    <xf numFmtId="0" fontId="0" fillId="5" borderId="0" xfId="0" applyFill="1"/>
    <xf numFmtId="0" fontId="12" fillId="5" borderId="0" xfId="0" applyFont="1" applyFill="1" applyAlignment="1">
      <alignment horizontal="left" vertical="top" wrapText="1"/>
    </xf>
    <xf numFmtId="0" fontId="14" fillId="4" borderId="8" xfId="2" applyFont="1" applyBorder="1" applyAlignment="1">
      <alignment horizontal="center" wrapText="1"/>
    </xf>
    <xf numFmtId="0" fontId="14" fillId="4" borderId="9" xfId="2" applyFont="1" applyBorder="1" applyAlignment="1">
      <alignment horizontal="center" wrapText="1"/>
    </xf>
    <xf numFmtId="0" fontId="14" fillId="4" borderId="10" xfId="2" applyFont="1" applyBorder="1" applyAlignment="1">
      <alignment horizontal="center" wrapText="1"/>
    </xf>
    <xf numFmtId="0" fontId="10" fillId="5" borderId="0" xfId="0" applyFont="1" applyFill="1" applyAlignment="1">
      <alignment horizontal="center"/>
    </xf>
    <xf numFmtId="0" fontId="4" fillId="5" borderId="0" xfId="0" applyFont="1" applyFill="1" applyAlignment="1">
      <alignment horizontal="center"/>
    </xf>
    <xf numFmtId="0" fontId="12" fillId="0" borderId="0" xfId="0" applyFont="1" applyAlignment="1">
      <alignment horizontal="left"/>
    </xf>
    <xf numFmtId="0" fontId="12" fillId="5" borderId="0" xfId="0" applyFont="1" applyFill="1" applyAlignment="1">
      <alignment horizontal="left" wrapText="1"/>
    </xf>
    <xf numFmtId="0" fontId="22" fillId="3" borderId="21" xfId="0" applyFont="1" applyFill="1" applyBorder="1" applyAlignment="1">
      <alignment horizontal="center" vertical="center" textRotation="90"/>
    </xf>
    <xf numFmtId="0" fontId="22" fillId="3" borderId="22" xfId="0" applyFont="1" applyFill="1" applyBorder="1" applyAlignment="1">
      <alignment horizontal="center" vertical="center" textRotation="90"/>
    </xf>
    <xf numFmtId="0" fontId="22" fillId="3" borderId="25" xfId="0" applyFont="1" applyFill="1" applyBorder="1" applyAlignment="1">
      <alignment horizontal="center"/>
    </xf>
    <xf numFmtId="0" fontId="22" fillId="3" borderId="1" xfId="0" applyFont="1" applyFill="1" applyBorder="1" applyAlignment="1">
      <alignment horizontal="center"/>
    </xf>
    <xf numFmtId="0" fontId="22" fillId="3" borderId="24" xfId="0" applyFont="1" applyFill="1" applyBorder="1" applyAlignment="1">
      <alignment horizontal="center"/>
    </xf>
    <xf numFmtId="0" fontId="22" fillId="3" borderId="12" xfId="0" applyFont="1" applyFill="1" applyBorder="1" applyAlignment="1">
      <alignment horizontal="center" vertical="center" textRotation="90"/>
    </xf>
    <xf numFmtId="0" fontId="22" fillId="3" borderId="15" xfId="0" applyFont="1" applyFill="1" applyBorder="1" applyAlignment="1">
      <alignment horizontal="center" vertical="center" textRotation="90"/>
    </xf>
    <xf numFmtId="0" fontId="22" fillId="3" borderId="26" xfId="0" applyFont="1" applyFill="1" applyBorder="1" applyAlignment="1">
      <alignment horizontal="center"/>
    </xf>
    <xf numFmtId="0" fontId="22" fillId="3" borderId="11" xfId="0" applyFont="1" applyFill="1" applyBorder="1" applyAlignment="1">
      <alignment horizontal="center"/>
    </xf>
    <xf numFmtId="0" fontId="22" fillId="3" borderId="18" xfId="0" applyFont="1" applyFill="1" applyBorder="1" applyAlignment="1">
      <alignment horizontal="center"/>
    </xf>
  </cellXfs>
  <cellStyles count="6">
    <cellStyle name="Currency" xfId="4" builtinId="4"/>
    <cellStyle name="Hyperlink" xfId="5" builtinId="8"/>
    <cellStyle name="Normal" xfId="0" builtinId="0"/>
    <cellStyle name="Normal 2 2" xfId="3" xr:uid="{B82EEC54-C959-4263-882E-61D78481713D}"/>
    <cellStyle name="Output" xfId="2" builtinId="21"/>
    <cellStyle name="Percent" xfId="1" builtinId="5"/>
  </cellStyles>
  <dxfs count="2">
    <dxf>
      <font>
        <color rgb="FFFF0000"/>
      </font>
    </dxf>
    <dxf>
      <font>
        <color rgb="FFFF000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2590800</xdr:colOff>
      <xdr:row>3</xdr:row>
      <xdr:rowOff>133350</xdr:rowOff>
    </xdr:from>
    <xdr:to>
      <xdr:col>3</xdr:col>
      <xdr:colOff>2752725</xdr:colOff>
      <xdr:row>8</xdr:row>
      <xdr:rowOff>148906</xdr:rowOff>
    </xdr:to>
    <xdr:pic>
      <xdr:nvPicPr>
        <xdr:cNvPr id="2" name="Picture 1" descr="University of Missouri - Extension and Food &amp; Agricultural Policy Research Institute">
          <a:extLst>
            <a:ext uri="{FF2B5EF4-FFF2-40B4-BE49-F238E27FC236}">
              <a16:creationId xmlns:a16="http://schemas.microsoft.com/office/drawing/2014/main" id="{40A39EA2-BB7F-407A-8067-51450EEE5F1A}"/>
            </a:ext>
          </a:extLst>
        </xdr:cNvPr>
        <xdr:cNvPicPr>
          <a:picLocks noChangeAspect="1"/>
        </xdr:cNvPicPr>
      </xdr:nvPicPr>
      <xdr:blipFill>
        <a:blip xmlns:r="http://schemas.openxmlformats.org/officeDocument/2006/relationships" r:embed="rId1"/>
        <a:stretch>
          <a:fillRect/>
        </a:stretch>
      </xdr:blipFill>
      <xdr:spPr>
        <a:xfrm>
          <a:off x="5076825" y="809625"/>
          <a:ext cx="2800350" cy="9490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pageSetUpPr fitToPage="1"/>
  </sheetPr>
  <dimension ref="A1:M28"/>
  <sheetViews>
    <sheetView tabSelected="1" workbookViewId="0"/>
  </sheetViews>
  <sheetFormatPr defaultColWidth="0" defaultRowHeight="16.5" customHeight="1" zeroHeight="1" x14ac:dyDescent="0.4"/>
  <cols>
    <col min="1" max="1" width="2.796875" style="3" customWidth="1"/>
    <col min="2" max="2" width="35.59765625" style="3" customWidth="1"/>
    <col min="3" max="3" width="34.59765625" style="3" customWidth="1"/>
    <col min="4" max="4" width="36.59765625" style="3" customWidth="1"/>
    <col min="5" max="5" width="3" style="3" customWidth="1"/>
    <col min="6" max="8" width="9" style="3" hidden="1" customWidth="1"/>
    <col min="9" max="13" width="0" style="3" hidden="1" customWidth="1"/>
    <col min="14" max="16384" width="9" style="3" hidden="1"/>
  </cols>
  <sheetData>
    <row r="1" spans="1:13" ht="17.399999999999999" thickBot="1" x14ac:dyDescent="0.45">
      <c r="A1" s="2"/>
      <c r="B1" s="4"/>
      <c r="C1" s="4"/>
      <c r="D1" s="4"/>
      <c r="E1" s="2"/>
      <c r="F1" s="2"/>
      <c r="G1" s="2"/>
      <c r="H1" s="2"/>
      <c r="I1" s="2"/>
      <c r="J1" s="2"/>
      <c r="K1" s="2"/>
      <c r="L1" s="2"/>
      <c r="M1" s="2"/>
    </row>
    <row r="2" spans="1:13" ht="19.5" customHeight="1" thickBot="1" x14ac:dyDescent="0.45">
      <c r="A2" s="2"/>
      <c r="B2" s="127" t="s">
        <v>51</v>
      </c>
      <c r="C2" s="128"/>
      <c r="D2" s="129"/>
      <c r="E2" s="2"/>
      <c r="F2" s="2"/>
      <c r="G2" s="2"/>
      <c r="H2" s="2"/>
    </row>
    <row r="3" spans="1:13" ht="16.5" customHeight="1" x14ac:dyDescent="0.4">
      <c r="A3" s="2"/>
      <c r="B3" s="130" t="s">
        <v>0</v>
      </c>
      <c r="C3" s="130"/>
      <c r="D3" s="130"/>
      <c r="E3" s="2"/>
      <c r="F3" s="2"/>
      <c r="G3" s="2"/>
      <c r="H3" s="2"/>
    </row>
    <row r="4" spans="1:13" ht="16.8" x14ac:dyDescent="0.4">
      <c r="A4" s="2"/>
      <c r="B4" s="131"/>
      <c r="C4" s="131"/>
      <c r="D4" s="131"/>
      <c r="E4" s="2"/>
      <c r="F4" s="2"/>
      <c r="G4" s="2"/>
      <c r="H4" s="2"/>
    </row>
    <row r="5" spans="1:13" ht="16.8" x14ac:dyDescent="0.4">
      <c r="A5" s="2"/>
      <c r="B5" s="9" t="s">
        <v>95</v>
      </c>
      <c r="C5" s="7"/>
      <c r="D5" s="136"/>
      <c r="E5" s="2"/>
      <c r="F5" s="2"/>
      <c r="G5" s="2"/>
      <c r="H5" s="2"/>
    </row>
    <row r="6" spans="1:13" ht="16.5" customHeight="1" x14ac:dyDescent="0.4">
      <c r="A6" s="2"/>
      <c r="B6" s="36"/>
      <c r="C6" s="35"/>
      <c r="D6" s="136"/>
      <c r="E6" s="2"/>
      <c r="F6" s="2"/>
      <c r="G6" s="2"/>
      <c r="H6" s="2"/>
    </row>
    <row r="7" spans="1:13" ht="16.5" customHeight="1" x14ac:dyDescent="0.4">
      <c r="A7" s="2"/>
      <c r="B7" s="103" t="s">
        <v>91</v>
      </c>
      <c r="C7" s="104" t="s">
        <v>92</v>
      </c>
      <c r="D7" s="60"/>
      <c r="E7" s="2"/>
      <c r="F7" s="2"/>
      <c r="G7" s="2"/>
      <c r="H7" s="2"/>
    </row>
    <row r="8" spans="1:13" ht="8.1" customHeight="1" x14ac:dyDescent="0.4">
      <c r="A8" s="2"/>
      <c r="B8" s="103"/>
      <c r="C8" s="105"/>
      <c r="D8" s="60"/>
      <c r="E8" s="2"/>
      <c r="F8" s="2"/>
      <c r="G8" s="2"/>
      <c r="H8" s="2"/>
    </row>
    <row r="9" spans="1:13" ht="16.5" customHeight="1" x14ac:dyDescent="0.4">
      <c r="A9" s="2"/>
      <c r="B9" s="103" t="s">
        <v>93</v>
      </c>
      <c r="C9" s="104" t="s">
        <v>94</v>
      </c>
      <c r="D9" s="60"/>
      <c r="E9" s="2"/>
      <c r="F9" s="2"/>
      <c r="G9" s="2"/>
      <c r="H9" s="2"/>
    </row>
    <row r="10" spans="1:13" ht="16.5" customHeight="1" x14ac:dyDescent="0.4">
      <c r="A10" s="2"/>
      <c r="B10" s="5"/>
      <c r="C10"/>
      <c r="D10" s="4"/>
      <c r="E10" s="2"/>
      <c r="F10" s="2"/>
      <c r="G10" s="2"/>
      <c r="H10" s="2"/>
    </row>
    <row r="11" spans="1:13" ht="48.6" customHeight="1" x14ac:dyDescent="0.4">
      <c r="A11" s="2"/>
      <c r="B11" s="132" t="s">
        <v>36</v>
      </c>
      <c r="C11" s="132"/>
      <c r="D11" s="132"/>
      <c r="E11" s="2"/>
      <c r="F11" s="2"/>
      <c r="G11" s="2"/>
      <c r="H11" s="2"/>
    </row>
    <row r="12" spans="1:13" ht="18.75" customHeight="1" x14ac:dyDescent="0.4">
      <c r="A12" s="2"/>
      <c r="B12" s="132" t="s">
        <v>52</v>
      </c>
      <c r="C12" s="132"/>
      <c r="D12" s="132"/>
      <c r="F12" s="2"/>
      <c r="G12" s="2"/>
      <c r="H12" s="2"/>
    </row>
    <row r="13" spans="1:13" ht="16.5" customHeight="1" x14ac:dyDescent="0.4">
      <c r="A13" s="2"/>
      <c r="B13" s="6"/>
      <c r="C13" s="6"/>
      <c r="D13" s="6"/>
      <c r="E13" s="2"/>
      <c r="F13" s="2"/>
      <c r="G13" s="2"/>
      <c r="H13" s="2"/>
    </row>
    <row r="14" spans="1:13" ht="16.5" customHeight="1" x14ac:dyDescent="0.4">
      <c r="A14" s="2"/>
      <c r="B14" s="133" t="s">
        <v>1</v>
      </c>
      <c r="C14" s="134"/>
      <c r="D14" s="135"/>
      <c r="E14" s="2"/>
      <c r="F14" s="2"/>
      <c r="G14" s="2"/>
      <c r="H14" s="2"/>
    </row>
    <row r="15" spans="1:13" ht="17.399999999999999" thickBot="1" x14ac:dyDescent="0.45">
      <c r="A15" s="2"/>
      <c r="B15" s="4"/>
      <c r="C15" s="4"/>
      <c r="D15" s="4"/>
      <c r="E15" s="2"/>
      <c r="F15" s="2"/>
      <c r="G15" s="2"/>
      <c r="H15" s="2"/>
    </row>
    <row r="16" spans="1:13" ht="19.2" thickBot="1" x14ac:dyDescent="0.45">
      <c r="A16" s="2"/>
      <c r="B16" s="125"/>
      <c r="C16" s="126"/>
      <c r="D16" s="126"/>
      <c r="E16" s="2"/>
      <c r="F16" s="2"/>
      <c r="G16" s="2"/>
      <c r="H16" s="2"/>
    </row>
    <row r="17" spans="1:8" ht="16.8" x14ac:dyDescent="0.4">
      <c r="A17" s="2"/>
      <c r="B17" s="2"/>
      <c r="C17" s="2"/>
      <c r="D17" s="2"/>
      <c r="E17" s="2"/>
      <c r="F17" s="2"/>
      <c r="G17" s="2"/>
      <c r="H17" s="2"/>
    </row>
    <row r="18" spans="1:8" ht="16.8" hidden="1" x14ac:dyDescent="0.4">
      <c r="A18" s="2"/>
      <c r="B18" s="2"/>
      <c r="C18" s="2"/>
      <c r="D18" s="2"/>
      <c r="E18" s="2"/>
      <c r="F18" s="2"/>
      <c r="G18" s="2"/>
      <c r="H18" s="2"/>
    </row>
    <row r="19" spans="1:8" ht="16.8" hidden="1" x14ac:dyDescent="0.4">
      <c r="A19" s="2"/>
      <c r="B19" s="2"/>
      <c r="C19" s="2"/>
      <c r="D19" s="2"/>
      <c r="E19" s="2"/>
      <c r="F19" s="2"/>
      <c r="G19" s="2"/>
      <c r="H19" s="2"/>
    </row>
    <row r="20" spans="1:8" ht="16.8" hidden="1" x14ac:dyDescent="0.4">
      <c r="A20" s="2"/>
      <c r="B20" s="2"/>
      <c r="C20" s="2"/>
      <c r="D20" s="2"/>
      <c r="E20" s="2"/>
      <c r="F20" s="2"/>
      <c r="G20" s="2"/>
      <c r="H20" s="2"/>
    </row>
    <row r="21" spans="1:8" ht="16.8" hidden="1" x14ac:dyDescent="0.4">
      <c r="A21" s="2"/>
      <c r="B21" s="2"/>
      <c r="C21" s="2"/>
      <c r="D21" s="2"/>
      <c r="E21" s="2"/>
      <c r="F21" s="2"/>
      <c r="G21" s="2"/>
      <c r="H21" s="2"/>
    </row>
    <row r="22" spans="1:8" ht="16.8" hidden="1" x14ac:dyDescent="0.4">
      <c r="A22" s="2"/>
      <c r="B22" s="2"/>
      <c r="C22" s="2"/>
      <c r="D22" s="2"/>
      <c r="E22" s="2"/>
      <c r="F22" s="2"/>
      <c r="G22" s="2"/>
      <c r="H22" s="2"/>
    </row>
    <row r="23" spans="1:8" ht="16.8" hidden="1" x14ac:dyDescent="0.4">
      <c r="A23" s="2"/>
      <c r="B23" s="2"/>
      <c r="C23" s="2"/>
      <c r="D23" s="2"/>
      <c r="E23" s="2"/>
      <c r="F23" s="2"/>
      <c r="G23" s="2"/>
      <c r="H23" s="2"/>
    </row>
    <row r="24" spans="1:8" ht="16.8" hidden="1" x14ac:dyDescent="0.4">
      <c r="A24" s="2"/>
      <c r="B24" s="2"/>
      <c r="C24" s="2"/>
      <c r="D24" s="2"/>
      <c r="E24" s="2"/>
      <c r="F24" s="2"/>
      <c r="G24" s="2"/>
      <c r="H24" s="2"/>
    </row>
    <row r="25" spans="1:8" ht="16.8" hidden="1" x14ac:dyDescent="0.4">
      <c r="A25" s="2"/>
      <c r="B25" s="2"/>
      <c r="C25" s="2"/>
      <c r="D25" s="2"/>
      <c r="E25" s="2"/>
      <c r="F25" s="2"/>
      <c r="G25" s="2"/>
      <c r="H25" s="2"/>
    </row>
    <row r="26" spans="1:8" ht="16.8" hidden="1" x14ac:dyDescent="0.4">
      <c r="A26" s="2"/>
    </row>
    <row r="27" spans="1:8" ht="16.8" hidden="1" x14ac:dyDescent="0.4">
      <c r="A27" s="2"/>
    </row>
    <row r="28" spans="1:8" ht="16.8" hidden="1" x14ac:dyDescent="0.4">
      <c r="A28" s="2"/>
    </row>
  </sheetData>
  <sheetProtection sheet="1" objects="1" scenarios="1"/>
  <mergeCells count="8">
    <mergeCell ref="B16:D16"/>
    <mergeCell ref="B2:D2"/>
    <mergeCell ref="B3:D3"/>
    <mergeCell ref="B4:D4"/>
    <mergeCell ref="B12:D12"/>
    <mergeCell ref="B14:D14"/>
    <mergeCell ref="B11:D11"/>
    <mergeCell ref="D5:D6"/>
  </mergeCells>
  <hyperlinks>
    <hyperlink ref="C9" r:id="rId1" xr:uid="{D461A5AA-1405-4C60-A59A-2BE15B0EC952}"/>
    <hyperlink ref="C7" r:id="rId2" xr:uid="{052E8CFA-A051-4D22-BDBB-C056EC7D4896}"/>
  </hyperlinks>
  <pageMargins left="0.7" right="0.7" top="0.75" bottom="0.75" header="0.3" footer="0.3"/>
  <pageSetup scale="91"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dimension ref="A1:X55"/>
  <sheetViews>
    <sheetView showGridLines="0" zoomScaleNormal="100" workbookViewId="0"/>
  </sheetViews>
  <sheetFormatPr defaultColWidth="0" defaultRowHeight="16.05" customHeight="1" zeroHeight="1" x14ac:dyDescent="0.35"/>
  <cols>
    <col min="1" max="1" width="3.09765625" style="1" customWidth="1"/>
    <col min="2" max="2" width="1.59765625" style="1" customWidth="1"/>
    <col min="3" max="3" width="33.796875" style="1" customWidth="1"/>
    <col min="4" max="4" width="8.09765625" style="1" customWidth="1"/>
    <col min="5" max="5" width="8.5" style="1" customWidth="1"/>
    <col min="6" max="6" width="1" style="1" customWidth="1"/>
    <col min="7" max="7" width="8.796875" style="1" customWidth="1"/>
    <col min="8" max="8" width="11.59765625" style="1" customWidth="1"/>
    <col min="9" max="9" width="1.59765625" style="1" customWidth="1"/>
    <col min="10" max="10" width="8.796875" style="1" customWidth="1"/>
    <col min="11" max="11" width="12.09765625" style="1" customWidth="1"/>
    <col min="12" max="12" width="1.59765625" style="1" customWidth="1"/>
    <col min="13" max="13" width="8.796875" style="1" customWidth="1"/>
    <col min="14" max="14" width="12.09765625" style="1" customWidth="1"/>
    <col min="15" max="15" width="1.59765625" style="1" customWidth="1"/>
    <col min="16" max="16" width="8.796875" style="1" customWidth="1"/>
    <col min="17" max="17" width="12.09765625" style="1" customWidth="1"/>
    <col min="18" max="18" width="1.59765625" style="1" customWidth="1"/>
    <col min="19" max="19" width="3.09765625" style="1" customWidth="1"/>
    <col min="20" max="23" width="9" style="1" hidden="1" customWidth="1"/>
    <col min="24" max="24" width="0" style="1" hidden="1" customWidth="1"/>
    <col min="25" max="16384" width="9" style="1" hidden="1"/>
  </cols>
  <sheetData>
    <row r="1" spans="1:20" ht="16.5" customHeight="1" x14ac:dyDescent="0.35">
      <c r="B1" s="57"/>
      <c r="C1" s="57"/>
      <c r="D1"/>
      <c r="E1"/>
      <c r="F1"/>
      <c r="G1"/>
      <c r="H1"/>
      <c r="I1"/>
      <c r="J1"/>
      <c r="K1"/>
      <c r="L1"/>
      <c r="M1"/>
      <c r="N1"/>
      <c r="O1"/>
      <c r="P1"/>
      <c r="Q1"/>
    </row>
    <row r="2" spans="1:20" ht="18.75" customHeight="1" x14ac:dyDescent="0.4">
      <c r="B2" s="119" t="s">
        <v>53</v>
      </c>
      <c r="C2" s="120"/>
      <c r="D2" s="120"/>
      <c r="E2" s="120"/>
      <c r="F2" s="120"/>
      <c r="G2" s="120"/>
      <c r="H2" s="120"/>
      <c r="I2" s="120"/>
      <c r="J2" s="120"/>
      <c r="K2" s="120"/>
      <c r="L2" s="120"/>
      <c r="M2" s="120"/>
      <c r="N2" s="120"/>
      <c r="O2" s="120"/>
      <c r="P2" s="120"/>
      <c r="Q2" s="120"/>
      <c r="R2" s="120"/>
    </row>
    <row r="3" spans="1:20" ht="32.549999999999997" customHeight="1" x14ac:dyDescent="0.35">
      <c r="B3" s="75"/>
      <c r="C3" s="75"/>
      <c r="D3" s="75"/>
      <c r="E3" s="75"/>
      <c r="F3" s="75"/>
      <c r="G3" s="118" t="s">
        <v>54</v>
      </c>
      <c r="H3" s="118"/>
      <c r="I3" s="76"/>
      <c r="J3" s="118" t="s">
        <v>55</v>
      </c>
      <c r="K3" s="118"/>
      <c r="L3" s="76"/>
      <c r="M3" s="118" t="s">
        <v>56</v>
      </c>
      <c r="N3" s="118"/>
      <c r="O3" s="76"/>
      <c r="P3" s="118" t="s">
        <v>57</v>
      </c>
      <c r="Q3" s="118"/>
    </row>
    <row r="4" spans="1:20" ht="35.1" customHeight="1" x14ac:dyDescent="0.4">
      <c r="A4" s="10"/>
      <c r="B4" s="77" t="s">
        <v>16</v>
      </c>
      <c r="C4" s="77"/>
      <c r="D4" s="78" t="s">
        <v>3</v>
      </c>
      <c r="E4" s="79" t="s">
        <v>4</v>
      </c>
      <c r="F4" s="80"/>
      <c r="G4" s="79" t="s">
        <v>5</v>
      </c>
      <c r="H4" s="79" t="s">
        <v>6</v>
      </c>
      <c r="I4" s="81"/>
      <c r="J4" s="79" t="s">
        <v>5</v>
      </c>
      <c r="K4" s="79" t="s">
        <v>7</v>
      </c>
      <c r="L4" s="81"/>
      <c r="M4" s="79" t="s">
        <v>5</v>
      </c>
      <c r="N4" s="79" t="s">
        <v>6</v>
      </c>
      <c r="O4" s="82"/>
      <c r="P4" s="79" t="s">
        <v>5</v>
      </c>
      <c r="Q4" s="79" t="s">
        <v>6</v>
      </c>
    </row>
    <row r="5" spans="1:20" ht="16.05" customHeight="1" x14ac:dyDescent="0.4">
      <c r="A5" s="10"/>
      <c r="B5" s="7" t="s">
        <v>43</v>
      </c>
      <c r="C5" s="7"/>
      <c r="D5" s="37" t="s">
        <v>78</v>
      </c>
      <c r="E5" s="11">
        <v>4.92</v>
      </c>
      <c r="F5" s="7"/>
      <c r="G5" s="12">
        <v>0</v>
      </c>
      <c r="H5" s="83">
        <f>G5*E5</f>
        <v>0</v>
      </c>
      <c r="I5" s="7"/>
      <c r="J5" s="12">
        <v>4000</v>
      </c>
      <c r="K5" s="83">
        <f>J5*E5</f>
        <v>19680</v>
      </c>
      <c r="L5" s="7"/>
      <c r="M5" s="12">
        <v>3000</v>
      </c>
      <c r="N5" s="83">
        <f>M5*E5</f>
        <v>14760</v>
      </c>
      <c r="O5" s="7"/>
      <c r="P5" s="12">
        <v>2000</v>
      </c>
      <c r="Q5" s="83">
        <f>P5*E5</f>
        <v>9840</v>
      </c>
    </row>
    <row r="6" spans="1:20" ht="16.05" customHeight="1" x14ac:dyDescent="0.4">
      <c r="A6" s="10"/>
      <c r="C6" s="84" t="s">
        <v>17</v>
      </c>
      <c r="D6"/>
      <c r="E6" s="7"/>
      <c r="F6" s="7"/>
      <c r="G6" s="7"/>
      <c r="H6" s="85">
        <f>H5</f>
        <v>0</v>
      </c>
      <c r="I6" s="7"/>
      <c r="J6" s="7"/>
      <c r="K6" s="85">
        <f>K5</f>
        <v>19680</v>
      </c>
      <c r="L6" s="7"/>
      <c r="M6" s="7"/>
      <c r="N6" s="85">
        <f>N5</f>
        <v>14760</v>
      </c>
      <c r="O6" s="7"/>
      <c r="P6" s="7"/>
      <c r="Q6" s="85">
        <f>Q5</f>
        <v>9840</v>
      </c>
    </row>
    <row r="7" spans="1:20" ht="35.1" customHeight="1" x14ac:dyDescent="0.4">
      <c r="A7" s="10"/>
      <c r="B7" s="77" t="s">
        <v>18</v>
      </c>
      <c r="C7" s="77"/>
      <c r="D7" s="78" t="s">
        <v>3</v>
      </c>
      <c r="E7" s="79" t="s">
        <v>4</v>
      </c>
      <c r="F7" s="80"/>
      <c r="G7" s="79" t="s">
        <v>5</v>
      </c>
      <c r="H7" s="79" t="s">
        <v>6</v>
      </c>
      <c r="I7" s="81"/>
      <c r="J7" s="79" t="s">
        <v>5</v>
      </c>
      <c r="K7" s="79" t="s">
        <v>7</v>
      </c>
      <c r="L7" s="81"/>
      <c r="M7" s="79" t="s">
        <v>5</v>
      </c>
      <c r="N7" s="79" t="s">
        <v>6</v>
      </c>
      <c r="O7" s="82"/>
      <c r="P7" s="79" t="s">
        <v>5</v>
      </c>
      <c r="Q7" s="79" t="s">
        <v>6</v>
      </c>
    </row>
    <row r="8" spans="1:20" ht="16.05" customHeight="1" x14ac:dyDescent="0.4">
      <c r="A8" s="10"/>
      <c r="B8" s="7" t="s">
        <v>44</v>
      </c>
      <c r="C8" s="7"/>
      <c r="D8" s="37" t="s">
        <v>8</v>
      </c>
      <c r="E8" s="11">
        <v>0.39</v>
      </c>
      <c r="F8" s="7"/>
      <c r="G8" s="12">
        <v>5000</v>
      </c>
      <c r="H8" s="85">
        <f>G8*$E$8</f>
        <v>1950</v>
      </c>
      <c r="I8" s="7"/>
      <c r="J8" s="12">
        <v>0</v>
      </c>
      <c r="K8" s="85">
        <f>J8*E8</f>
        <v>0</v>
      </c>
      <c r="L8" s="7"/>
      <c r="M8" s="16">
        <v>0</v>
      </c>
      <c r="N8" s="85">
        <f>M8*E8</f>
        <v>0</v>
      </c>
      <c r="O8" s="7"/>
      <c r="P8" s="12">
        <v>0</v>
      </c>
      <c r="Q8" s="85">
        <f>P8*E8</f>
        <v>0</v>
      </c>
    </row>
    <row r="9" spans="1:20" ht="16.05" customHeight="1" x14ac:dyDescent="0.4">
      <c r="A9" s="10"/>
      <c r="B9" s="7" t="s">
        <v>45</v>
      </c>
      <c r="C9" s="7"/>
      <c r="D9" s="37" t="s">
        <v>9</v>
      </c>
      <c r="E9" s="11">
        <v>15</v>
      </c>
      <c r="F9" s="7"/>
      <c r="G9" s="12">
        <v>0</v>
      </c>
      <c r="H9" s="85">
        <f>G9*$E9</f>
        <v>0</v>
      </c>
      <c r="I9" s="7"/>
      <c r="J9" s="12">
        <v>0</v>
      </c>
      <c r="K9" s="85">
        <f>J9*E9</f>
        <v>0</v>
      </c>
      <c r="L9" s="7"/>
      <c r="M9" s="16">
        <v>0</v>
      </c>
      <c r="N9" s="85">
        <f>M9*E9</f>
        <v>0</v>
      </c>
      <c r="O9" s="7"/>
      <c r="P9" s="12">
        <v>0</v>
      </c>
      <c r="Q9" s="85">
        <f>P9*$E9</f>
        <v>0</v>
      </c>
    </row>
    <row r="10" spans="1:20" ht="16.05" customHeight="1" x14ac:dyDescent="0.4">
      <c r="A10" s="10"/>
      <c r="B10" s="7" t="s">
        <v>58</v>
      </c>
      <c r="C10" s="7"/>
      <c r="D10" s="37" t="s">
        <v>11</v>
      </c>
      <c r="E10" s="11">
        <v>1.42</v>
      </c>
      <c r="F10" s="7"/>
      <c r="G10" s="12">
        <v>30</v>
      </c>
      <c r="H10" s="85">
        <f>G10*$E10</f>
        <v>42.599999999999994</v>
      </c>
      <c r="I10" s="7"/>
      <c r="J10" s="12">
        <v>0</v>
      </c>
      <c r="K10" s="85">
        <f>J10*$E10</f>
        <v>0</v>
      </c>
      <c r="L10" s="7"/>
      <c r="M10" s="16">
        <v>0</v>
      </c>
      <c r="N10" s="85">
        <f>M10*$E10</f>
        <v>0</v>
      </c>
      <c r="O10" s="7"/>
      <c r="P10" s="12">
        <v>0</v>
      </c>
      <c r="Q10" s="85">
        <f t="shared" ref="Q10:Q12" si="0">P10*$E10</f>
        <v>0</v>
      </c>
    </row>
    <row r="11" spans="1:20" ht="16.05" customHeight="1" x14ac:dyDescent="0.4">
      <c r="A11" s="10"/>
      <c r="B11" s="7" t="s">
        <v>60</v>
      </c>
      <c r="C11" s="7"/>
      <c r="D11" s="37" t="s">
        <v>59</v>
      </c>
      <c r="E11" s="11">
        <v>37</v>
      </c>
      <c r="F11" s="7"/>
      <c r="G11" s="12">
        <v>7</v>
      </c>
      <c r="H11" s="85">
        <f>G11*$E11</f>
        <v>259</v>
      </c>
      <c r="I11" s="7"/>
      <c r="J11" s="12">
        <v>7</v>
      </c>
      <c r="K11" s="85">
        <f>J11*$E11</f>
        <v>259</v>
      </c>
      <c r="L11" s="7"/>
      <c r="M11" s="16">
        <v>7</v>
      </c>
      <c r="N11" s="85">
        <f>M11*$E11</f>
        <v>259</v>
      </c>
      <c r="O11" s="7"/>
      <c r="P11" s="12">
        <v>7</v>
      </c>
      <c r="Q11" s="85">
        <f t="shared" si="0"/>
        <v>259</v>
      </c>
    </row>
    <row r="12" spans="1:20" ht="16.05" customHeight="1" x14ac:dyDescent="0.4">
      <c r="A12" s="10"/>
      <c r="B12" s="7" t="s">
        <v>61</v>
      </c>
      <c r="C12" s="7"/>
      <c r="D12" s="37" t="s">
        <v>11</v>
      </c>
      <c r="E12" s="11">
        <v>0.45</v>
      </c>
      <c r="F12" s="7"/>
      <c r="G12" s="12">
        <v>150</v>
      </c>
      <c r="H12" s="85">
        <f>G12*$E12</f>
        <v>67.5</v>
      </c>
      <c r="I12" s="7"/>
      <c r="J12" s="12">
        <v>300</v>
      </c>
      <c r="K12" s="85">
        <f>J12*$E12</f>
        <v>135</v>
      </c>
      <c r="L12" s="7"/>
      <c r="M12" s="16">
        <v>300</v>
      </c>
      <c r="N12" s="85">
        <f>M12*$E12</f>
        <v>135</v>
      </c>
      <c r="O12" s="7"/>
      <c r="P12" s="12">
        <v>300</v>
      </c>
      <c r="Q12" s="85">
        <f t="shared" si="0"/>
        <v>135</v>
      </c>
    </row>
    <row r="13" spans="1:20" ht="16.05" customHeight="1" x14ac:dyDescent="0.4">
      <c r="A13" s="10"/>
      <c r="B13" s="7" t="s">
        <v>62</v>
      </c>
      <c r="C13" s="7"/>
      <c r="D13" s="37" t="s">
        <v>10</v>
      </c>
      <c r="E13" s="58"/>
      <c r="F13" s="7"/>
      <c r="G13" s="86"/>
      <c r="H13" s="15">
        <v>0</v>
      </c>
      <c r="I13" s="7"/>
      <c r="J13" s="86"/>
      <c r="K13" s="15">
        <v>108.52</v>
      </c>
      <c r="L13" s="7"/>
      <c r="M13" s="87"/>
      <c r="N13" s="15">
        <v>108.52</v>
      </c>
      <c r="O13" s="7"/>
      <c r="P13" s="86"/>
      <c r="Q13" s="15">
        <v>108.52</v>
      </c>
    </row>
    <row r="14" spans="1:20" ht="16.05" customHeight="1" x14ac:dyDescent="0.4">
      <c r="A14" s="10"/>
      <c r="B14" s="7" t="s">
        <v>63</v>
      </c>
      <c r="C14" s="7"/>
      <c r="D14" s="37" t="s">
        <v>10</v>
      </c>
      <c r="E14" s="58"/>
      <c r="F14" s="7"/>
      <c r="G14" s="86"/>
      <c r="H14" s="15">
        <v>1500</v>
      </c>
      <c r="I14" s="7"/>
      <c r="J14" s="86"/>
      <c r="K14" s="15">
        <v>0</v>
      </c>
      <c r="L14" s="7"/>
      <c r="M14" s="87"/>
      <c r="N14" s="15">
        <v>0</v>
      </c>
      <c r="O14" s="7"/>
      <c r="P14" s="86"/>
      <c r="Q14" s="15">
        <v>0</v>
      </c>
    </row>
    <row r="15" spans="1:20" ht="16.05" customHeight="1" x14ac:dyDescent="0.4">
      <c r="A15" s="10"/>
      <c r="B15" s="7" t="s">
        <v>40</v>
      </c>
      <c r="C15" s="7"/>
      <c r="D15" s="37"/>
      <c r="E15" s="58"/>
      <c r="F15" s="7"/>
      <c r="G15" s="86"/>
      <c r="H15" s="85"/>
      <c r="I15" s="7"/>
      <c r="J15" s="86"/>
      <c r="K15" s="85"/>
      <c r="L15" s="7"/>
      <c r="M15" s="87"/>
      <c r="N15" s="85"/>
      <c r="O15" s="7"/>
      <c r="P15" s="86"/>
      <c r="Q15" s="85"/>
    </row>
    <row r="16" spans="1:20" ht="16.05" customHeight="1" x14ac:dyDescent="0.4">
      <c r="A16" s="10"/>
      <c r="B16" s="7"/>
      <c r="C16" s="7" t="s">
        <v>64</v>
      </c>
      <c r="D16" s="37" t="s">
        <v>39</v>
      </c>
      <c r="E16" s="11">
        <v>15.71</v>
      </c>
      <c r="F16" s="7"/>
      <c r="G16" s="12">
        <v>3</v>
      </c>
      <c r="H16" s="85">
        <f>G16*E16</f>
        <v>47.13</v>
      </c>
      <c r="I16" s="7"/>
      <c r="J16" s="12">
        <v>0</v>
      </c>
      <c r="K16" s="85">
        <f>J16*E16</f>
        <v>0</v>
      </c>
      <c r="L16" s="7"/>
      <c r="M16" s="16">
        <v>0</v>
      </c>
      <c r="N16" s="85">
        <f>M16*E16</f>
        <v>0</v>
      </c>
      <c r="O16" s="7"/>
      <c r="P16" s="12">
        <v>0</v>
      </c>
      <c r="Q16" s="85">
        <f>P16*E16</f>
        <v>0</v>
      </c>
      <c r="T16" s="34"/>
    </row>
    <row r="17" spans="1:20" ht="16.05" customHeight="1" x14ac:dyDescent="0.4">
      <c r="A17" s="10"/>
      <c r="B17" s="7"/>
      <c r="C17" s="7" t="s">
        <v>65</v>
      </c>
      <c r="D17" s="37" t="s">
        <v>39</v>
      </c>
      <c r="E17" s="11">
        <v>15.71</v>
      </c>
      <c r="F17" s="7"/>
      <c r="G17" s="12">
        <v>1</v>
      </c>
      <c r="H17" s="85">
        <f t="shared" ref="H17:H32" si="1">G17*E17</f>
        <v>15.71</v>
      </c>
      <c r="I17" s="7"/>
      <c r="J17" s="12">
        <v>0</v>
      </c>
      <c r="K17" s="85">
        <f t="shared" ref="K17:K32" si="2">J17*E17</f>
        <v>0</v>
      </c>
      <c r="L17" s="7"/>
      <c r="M17" s="16">
        <v>0</v>
      </c>
      <c r="N17" s="85">
        <f t="shared" ref="N17:N32" si="3">M17*E17</f>
        <v>0</v>
      </c>
      <c r="O17" s="7"/>
      <c r="P17" s="12">
        <v>0</v>
      </c>
      <c r="Q17" s="85">
        <f t="shared" ref="Q17:Q32" si="4">P17*E17</f>
        <v>0</v>
      </c>
      <c r="T17" s="34"/>
    </row>
    <row r="18" spans="1:20" ht="16.05" customHeight="1" x14ac:dyDescent="0.4">
      <c r="A18" s="10"/>
      <c r="B18" s="7"/>
      <c r="C18" s="7" t="s">
        <v>66</v>
      </c>
      <c r="D18" s="37" t="s">
        <v>39</v>
      </c>
      <c r="E18" s="11">
        <v>15.71</v>
      </c>
      <c r="F18" s="7"/>
      <c r="G18" s="12">
        <v>0</v>
      </c>
      <c r="H18" s="85">
        <f t="shared" si="1"/>
        <v>0</v>
      </c>
      <c r="I18" s="7"/>
      <c r="J18" s="12">
        <v>8</v>
      </c>
      <c r="K18" s="85">
        <f t="shared" si="2"/>
        <v>125.68</v>
      </c>
      <c r="L18" s="7"/>
      <c r="M18" s="16">
        <v>8</v>
      </c>
      <c r="N18" s="85">
        <f t="shared" si="3"/>
        <v>125.68</v>
      </c>
      <c r="O18" s="7"/>
      <c r="P18" s="12">
        <v>8</v>
      </c>
      <c r="Q18" s="85">
        <f t="shared" si="4"/>
        <v>125.68</v>
      </c>
      <c r="T18" s="34"/>
    </row>
    <row r="19" spans="1:20" ht="16.05" customHeight="1" x14ac:dyDescent="0.4">
      <c r="A19" s="10"/>
      <c r="B19" s="7"/>
      <c r="C19" s="7" t="s">
        <v>67</v>
      </c>
      <c r="D19" s="37" t="s">
        <v>39</v>
      </c>
      <c r="E19" s="11">
        <v>15.71</v>
      </c>
      <c r="F19" s="7"/>
      <c r="G19" s="12">
        <v>1</v>
      </c>
      <c r="H19" s="85">
        <f t="shared" si="1"/>
        <v>15.71</v>
      </c>
      <c r="I19" s="7"/>
      <c r="J19" s="12">
        <v>1</v>
      </c>
      <c r="K19" s="85">
        <f t="shared" si="2"/>
        <v>15.71</v>
      </c>
      <c r="L19" s="7"/>
      <c r="M19" s="16">
        <v>1</v>
      </c>
      <c r="N19" s="85">
        <f t="shared" si="3"/>
        <v>15.71</v>
      </c>
      <c r="O19" s="7"/>
      <c r="P19" s="12">
        <v>1</v>
      </c>
      <c r="Q19" s="85">
        <f t="shared" si="4"/>
        <v>15.71</v>
      </c>
      <c r="T19" s="34"/>
    </row>
    <row r="20" spans="1:20" ht="16.05" customHeight="1" x14ac:dyDescent="0.4">
      <c r="A20" s="10"/>
      <c r="B20" s="7"/>
      <c r="C20" s="7" t="s">
        <v>68</v>
      </c>
      <c r="D20" s="37" t="s">
        <v>39</v>
      </c>
      <c r="E20" s="11">
        <v>15.71</v>
      </c>
      <c r="F20" s="7"/>
      <c r="G20" s="12">
        <v>18</v>
      </c>
      <c r="H20" s="85">
        <f t="shared" si="1"/>
        <v>282.78000000000003</v>
      </c>
      <c r="I20" s="7"/>
      <c r="J20" s="12">
        <v>0</v>
      </c>
      <c r="K20" s="85">
        <f t="shared" si="2"/>
        <v>0</v>
      </c>
      <c r="L20" s="7"/>
      <c r="M20" s="16">
        <v>0</v>
      </c>
      <c r="N20" s="85">
        <f t="shared" si="3"/>
        <v>0</v>
      </c>
      <c r="O20" s="7"/>
      <c r="P20" s="12">
        <v>0</v>
      </c>
      <c r="Q20" s="85">
        <f t="shared" si="4"/>
        <v>0</v>
      </c>
      <c r="T20" s="34"/>
    </row>
    <row r="21" spans="1:20" ht="16.05" customHeight="1" x14ac:dyDescent="0.4">
      <c r="A21" s="10"/>
      <c r="B21" s="7"/>
      <c r="C21" s="7" t="s">
        <v>69</v>
      </c>
      <c r="D21" s="37" t="s">
        <v>39</v>
      </c>
      <c r="E21" s="11">
        <v>15.71</v>
      </c>
      <c r="F21" s="7"/>
      <c r="G21" s="12">
        <v>90</v>
      </c>
      <c r="H21" s="85">
        <f t="shared" si="1"/>
        <v>1413.9</v>
      </c>
      <c r="I21" s="7"/>
      <c r="J21" s="12">
        <v>30</v>
      </c>
      <c r="K21" s="85">
        <f t="shared" si="2"/>
        <v>471.3</v>
      </c>
      <c r="L21" s="7"/>
      <c r="M21" s="16">
        <v>30</v>
      </c>
      <c r="N21" s="85">
        <f t="shared" si="3"/>
        <v>471.3</v>
      </c>
      <c r="O21" s="7"/>
      <c r="P21" s="12">
        <v>30</v>
      </c>
      <c r="Q21" s="85">
        <f t="shared" si="4"/>
        <v>471.3</v>
      </c>
      <c r="T21" s="34"/>
    </row>
    <row r="22" spans="1:20" ht="16.05" customHeight="1" x14ac:dyDescent="0.4">
      <c r="A22" s="10"/>
      <c r="B22" s="7"/>
      <c r="C22" s="7" t="s">
        <v>76</v>
      </c>
      <c r="D22" s="37" t="s">
        <v>39</v>
      </c>
      <c r="E22" s="11">
        <v>15.71</v>
      </c>
      <c r="F22" s="7"/>
      <c r="G22" s="12">
        <v>0</v>
      </c>
      <c r="H22" s="85">
        <f>G22*E22</f>
        <v>0</v>
      </c>
      <c r="I22" s="7"/>
      <c r="J22" s="12">
        <v>0</v>
      </c>
      <c r="K22" s="85">
        <f>J22*E22</f>
        <v>0</v>
      </c>
      <c r="L22" s="7"/>
      <c r="M22" s="16">
        <v>10</v>
      </c>
      <c r="N22" s="85">
        <f>M22*E22</f>
        <v>157.10000000000002</v>
      </c>
      <c r="O22" s="7"/>
      <c r="P22" s="12">
        <v>15</v>
      </c>
      <c r="Q22" s="85">
        <f>P22*E22</f>
        <v>235.65</v>
      </c>
      <c r="T22" s="34"/>
    </row>
    <row r="23" spans="1:20" ht="16.05" customHeight="1" x14ac:dyDescent="0.4">
      <c r="A23" s="10"/>
      <c r="B23" s="7"/>
      <c r="C23" s="7" t="s">
        <v>70</v>
      </c>
      <c r="D23" s="37" t="s">
        <v>39</v>
      </c>
      <c r="E23" s="11">
        <v>15.71</v>
      </c>
      <c r="F23" s="7"/>
      <c r="G23" s="12">
        <v>0</v>
      </c>
      <c r="H23" s="85">
        <f t="shared" si="1"/>
        <v>0</v>
      </c>
      <c r="I23" s="7"/>
      <c r="J23" s="12">
        <v>1</v>
      </c>
      <c r="K23" s="85">
        <f t="shared" si="2"/>
        <v>15.71</v>
      </c>
      <c r="L23" s="7"/>
      <c r="M23" s="16">
        <v>1</v>
      </c>
      <c r="N23" s="85">
        <f t="shared" si="3"/>
        <v>15.71</v>
      </c>
      <c r="O23" s="7"/>
      <c r="P23" s="12">
        <v>1</v>
      </c>
      <c r="Q23" s="85">
        <f t="shared" si="4"/>
        <v>15.71</v>
      </c>
      <c r="T23" s="34"/>
    </row>
    <row r="24" spans="1:20" ht="16.05" customHeight="1" x14ac:dyDescent="0.4">
      <c r="A24" s="10"/>
      <c r="B24" s="7"/>
      <c r="C24" s="7" t="s">
        <v>71</v>
      </c>
      <c r="D24" s="37" t="s">
        <v>39</v>
      </c>
      <c r="E24" s="11">
        <v>15.71</v>
      </c>
      <c r="F24" s="7"/>
      <c r="G24" s="12">
        <v>0</v>
      </c>
      <c r="H24" s="85">
        <f t="shared" si="1"/>
        <v>0</v>
      </c>
      <c r="I24" s="7"/>
      <c r="J24" s="12">
        <v>4</v>
      </c>
      <c r="K24" s="85">
        <f t="shared" si="2"/>
        <v>62.84</v>
      </c>
      <c r="L24" s="7"/>
      <c r="M24" s="16">
        <v>4</v>
      </c>
      <c r="N24" s="85">
        <f t="shared" si="3"/>
        <v>62.84</v>
      </c>
      <c r="O24" s="7"/>
      <c r="P24" s="12">
        <v>4</v>
      </c>
      <c r="Q24" s="85">
        <f t="shared" si="4"/>
        <v>62.84</v>
      </c>
      <c r="T24" s="34"/>
    </row>
    <row r="25" spans="1:20" ht="16.05" customHeight="1" x14ac:dyDescent="0.4">
      <c r="A25" s="10"/>
      <c r="B25" s="7"/>
      <c r="C25" s="7" t="s">
        <v>72</v>
      </c>
      <c r="D25" s="37" t="s">
        <v>39</v>
      </c>
      <c r="E25" s="11">
        <v>15.71</v>
      </c>
      <c r="F25" s="7"/>
      <c r="G25" s="12">
        <v>4</v>
      </c>
      <c r="H25" s="85">
        <f t="shared" si="1"/>
        <v>62.84</v>
      </c>
      <c r="I25" s="7"/>
      <c r="J25" s="12">
        <v>0</v>
      </c>
      <c r="K25" s="85">
        <f t="shared" si="2"/>
        <v>0</v>
      </c>
      <c r="L25" s="7"/>
      <c r="M25" s="16">
        <v>0</v>
      </c>
      <c r="N25" s="85">
        <f t="shared" si="3"/>
        <v>0</v>
      </c>
      <c r="O25" s="7"/>
      <c r="P25" s="12">
        <v>0</v>
      </c>
      <c r="Q25" s="85">
        <f t="shared" si="4"/>
        <v>0</v>
      </c>
      <c r="T25" s="34"/>
    </row>
    <row r="26" spans="1:20" ht="16.05" customHeight="1" x14ac:dyDescent="0.4">
      <c r="A26" s="10"/>
      <c r="B26" s="7"/>
      <c r="C26" s="7" t="s">
        <v>73</v>
      </c>
      <c r="D26" s="37" t="s">
        <v>39</v>
      </c>
      <c r="E26" s="11">
        <v>15.71</v>
      </c>
      <c r="F26" s="7"/>
      <c r="G26" s="12">
        <v>16</v>
      </c>
      <c r="H26" s="85">
        <f t="shared" si="1"/>
        <v>251.36</v>
      </c>
      <c r="I26" s="7"/>
      <c r="J26" s="12">
        <v>16</v>
      </c>
      <c r="K26" s="85">
        <f t="shared" si="2"/>
        <v>251.36</v>
      </c>
      <c r="L26" s="7"/>
      <c r="M26" s="16">
        <v>16</v>
      </c>
      <c r="N26" s="85">
        <f t="shared" si="3"/>
        <v>251.36</v>
      </c>
      <c r="O26" s="7"/>
      <c r="P26" s="12">
        <v>16</v>
      </c>
      <c r="Q26" s="85">
        <f t="shared" si="4"/>
        <v>251.36</v>
      </c>
      <c r="T26" s="34"/>
    </row>
    <row r="27" spans="1:20" ht="16.05" customHeight="1" x14ac:dyDescent="0.4">
      <c r="A27" s="10"/>
      <c r="B27" s="7"/>
      <c r="C27" s="7" t="s">
        <v>77</v>
      </c>
      <c r="D27" s="37" t="s">
        <v>39</v>
      </c>
      <c r="E27" s="11">
        <v>15.71</v>
      </c>
      <c r="F27" s="7"/>
      <c r="G27" s="12">
        <v>20</v>
      </c>
      <c r="H27" s="85">
        <f t="shared" si="1"/>
        <v>314.20000000000005</v>
      </c>
      <c r="I27" s="7"/>
      <c r="J27" s="12">
        <v>2</v>
      </c>
      <c r="K27" s="85">
        <f t="shared" si="2"/>
        <v>31.42</v>
      </c>
      <c r="L27" s="7"/>
      <c r="M27" s="16">
        <v>2</v>
      </c>
      <c r="N27" s="85">
        <f t="shared" si="3"/>
        <v>31.42</v>
      </c>
      <c r="O27" s="7"/>
      <c r="P27" s="12">
        <v>2</v>
      </c>
      <c r="Q27" s="85">
        <f t="shared" si="4"/>
        <v>31.42</v>
      </c>
      <c r="T27" s="34"/>
    </row>
    <row r="28" spans="1:20" ht="16.05" customHeight="1" x14ac:dyDescent="0.4">
      <c r="A28" s="10"/>
      <c r="B28" s="7"/>
      <c r="C28" s="7" t="s">
        <v>74</v>
      </c>
      <c r="D28" s="37" t="s">
        <v>39</v>
      </c>
      <c r="E28" s="11">
        <v>15.71</v>
      </c>
      <c r="F28" s="7"/>
      <c r="G28" s="12">
        <v>0</v>
      </c>
      <c r="H28" s="85">
        <f t="shared" si="1"/>
        <v>0</v>
      </c>
      <c r="I28" s="7"/>
      <c r="J28" s="12">
        <v>4</v>
      </c>
      <c r="K28" s="85">
        <f t="shared" si="2"/>
        <v>62.84</v>
      </c>
      <c r="L28" s="7"/>
      <c r="M28" s="16">
        <v>4</v>
      </c>
      <c r="N28" s="85">
        <f t="shared" si="3"/>
        <v>62.84</v>
      </c>
      <c r="O28" s="7"/>
      <c r="P28" s="12">
        <v>4</v>
      </c>
      <c r="Q28" s="85">
        <f t="shared" si="4"/>
        <v>62.84</v>
      </c>
      <c r="T28" s="34"/>
    </row>
    <row r="29" spans="1:20" ht="16.05" customHeight="1" x14ac:dyDescent="0.4">
      <c r="A29" s="10"/>
      <c r="B29" s="7"/>
      <c r="C29" s="7" t="s">
        <v>75</v>
      </c>
      <c r="D29" s="37" t="s">
        <v>39</v>
      </c>
      <c r="E29" s="11">
        <v>15.71</v>
      </c>
      <c r="F29" s="7"/>
      <c r="G29" s="12">
        <v>0</v>
      </c>
      <c r="H29" s="85">
        <f t="shared" si="1"/>
        <v>0</v>
      </c>
      <c r="I29" s="7"/>
      <c r="J29" s="12">
        <v>63.653722999999999</v>
      </c>
      <c r="K29" s="85">
        <f t="shared" si="2"/>
        <v>999.99998833000006</v>
      </c>
      <c r="L29" s="7"/>
      <c r="M29" s="12">
        <v>63.653722999999999</v>
      </c>
      <c r="N29" s="85">
        <f t="shared" si="3"/>
        <v>999.99998833000006</v>
      </c>
      <c r="O29" s="7"/>
      <c r="P29" s="12">
        <v>63.653722999999999</v>
      </c>
      <c r="Q29" s="85">
        <f t="shared" si="4"/>
        <v>999.99998833000006</v>
      </c>
      <c r="T29" s="34"/>
    </row>
    <row r="30" spans="1:20" ht="16.05" customHeight="1" x14ac:dyDescent="0.4">
      <c r="A30" s="10"/>
      <c r="B30" s="7" t="s">
        <v>41</v>
      </c>
      <c r="C30" s="7"/>
      <c r="D30" s="37"/>
      <c r="E30" s="58"/>
      <c r="F30" s="7"/>
      <c r="G30" s="86"/>
      <c r="H30" s="85"/>
      <c r="I30" s="7"/>
      <c r="J30" s="86"/>
      <c r="K30" s="85"/>
      <c r="L30" s="7"/>
      <c r="M30" s="87"/>
      <c r="N30" s="85"/>
      <c r="O30" s="7"/>
      <c r="P30" s="86"/>
      <c r="Q30" s="85"/>
    </row>
    <row r="31" spans="1:20" ht="16.05" customHeight="1" x14ac:dyDescent="0.4">
      <c r="A31" s="10"/>
      <c r="B31" s="7"/>
      <c r="C31" s="7" t="s">
        <v>79</v>
      </c>
      <c r="D31" s="37" t="s">
        <v>8</v>
      </c>
      <c r="E31" s="11">
        <v>0.39</v>
      </c>
      <c r="F31" s="7"/>
      <c r="G31" s="12">
        <v>0</v>
      </c>
      <c r="H31" s="85">
        <f t="shared" si="1"/>
        <v>0</v>
      </c>
      <c r="I31" s="7"/>
      <c r="J31" s="12">
        <v>1000</v>
      </c>
      <c r="K31" s="85">
        <f t="shared" si="2"/>
        <v>390</v>
      </c>
      <c r="L31" s="7"/>
      <c r="M31" s="16">
        <v>1000</v>
      </c>
      <c r="N31" s="85">
        <f t="shared" si="3"/>
        <v>390</v>
      </c>
      <c r="O31" s="7"/>
      <c r="P31" s="12">
        <v>1000</v>
      </c>
      <c r="Q31" s="85">
        <f t="shared" si="4"/>
        <v>390</v>
      </c>
    </row>
    <row r="32" spans="1:20" ht="16.05" customHeight="1" x14ac:dyDescent="0.4">
      <c r="A32" s="10"/>
      <c r="B32" s="7"/>
      <c r="C32" s="7" t="s">
        <v>80</v>
      </c>
      <c r="D32" s="37" t="s">
        <v>8</v>
      </c>
      <c r="E32" s="11">
        <v>1.35</v>
      </c>
      <c r="F32" s="7"/>
      <c r="G32" s="12">
        <v>0</v>
      </c>
      <c r="H32" s="85">
        <f t="shared" si="1"/>
        <v>0</v>
      </c>
      <c r="I32" s="7"/>
      <c r="J32" s="12">
        <v>100</v>
      </c>
      <c r="K32" s="85">
        <f t="shared" si="2"/>
        <v>135</v>
      </c>
      <c r="L32" s="7"/>
      <c r="M32" s="16">
        <v>75</v>
      </c>
      <c r="N32" s="85">
        <f t="shared" si="3"/>
        <v>101.25</v>
      </c>
      <c r="O32" s="7"/>
      <c r="P32" s="12">
        <v>50</v>
      </c>
      <c r="Q32" s="85">
        <f t="shared" si="4"/>
        <v>67.5</v>
      </c>
    </row>
    <row r="33" spans="1:19" ht="16.05" customHeight="1" x14ac:dyDescent="0.4">
      <c r="A33" s="10"/>
      <c r="B33" s="7" t="s">
        <v>42</v>
      </c>
      <c r="C33" s="7"/>
      <c r="D33" s="88" t="s">
        <v>37</v>
      </c>
      <c r="E33" s="13">
        <v>0.1</v>
      </c>
      <c r="F33" s="89"/>
      <c r="G33" s="86">
        <f>H6</f>
        <v>0</v>
      </c>
      <c r="H33" s="85">
        <f>G33*E33</f>
        <v>0</v>
      </c>
      <c r="I33" s="7"/>
      <c r="J33" s="86">
        <f>K6</f>
        <v>19680</v>
      </c>
      <c r="K33" s="85">
        <f>J33*E33</f>
        <v>1968</v>
      </c>
      <c r="L33" s="7"/>
      <c r="M33" s="86">
        <f>N6</f>
        <v>14760</v>
      </c>
      <c r="N33" s="85">
        <f>M33*E33</f>
        <v>1476</v>
      </c>
      <c r="O33" s="7"/>
      <c r="P33" s="86">
        <f>Q6</f>
        <v>9840</v>
      </c>
      <c r="Q33" s="85">
        <f>P33*$E33</f>
        <v>984</v>
      </c>
    </row>
    <row r="34" spans="1:19" ht="16.05" customHeight="1" x14ac:dyDescent="0.4">
      <c r="A34" s="10"/>
      <c r="B34" s="7" t="s">
        <v>47</v>
      </c>
      <c r="C34" s="7"/>
      <c r="D34" s="37" t="s">
        <v>12</v>
      </c>
      <c r="E34" s="14">
        <v>7.7499999999999999E-2</v>
      </c>
      <c r="F34" s="7"/>
      <c r="G34" s="86"/>
      <c r="H34" s="83">
        <f>SUM(H8:H33)*$E$34*6/12</f>
        <v>241.13078749999997</v>
      </c>
      <c r="I34" s="7"/>
      <c r="J34" s="86"/>
      <c r="K34" s="83">
        <f>SUM(K8:L33)*$E$34*6/12</f>
        <v>195.0047245477875</v>
      </c>
      <c r="L34" s="7"/>
      <c r="M34" s="87"/>
      <c r="N34" s="83">
        <f>SUM(N8:O33)*$E$34*6/12</f>
        <v>180.7195370477875</v>
      </c>
      <c r="O34" s="7"/>
      <c r="P34" s="86"/>
      <c r="Q34" s="83">
        <f>SUM(Q8:R33)*$E$34*6/12</f>
        <v>163.39053704778749</v>
      </c>
    </row>
    <row r="35" spans="1:19" ht="16.05" customHeight="1" x14ac:dyDescent="0.35">
      <c r="C35" s="84" t="s">
        <v>19</v>
      </c>
      <c r="D35" s="37"/>
      <c r="E35" s="7"/>
      <c r="F35" s="7"/>
      <c r="G35" s="90"/>
      <c r="H35" s="85">
        <f>SUM(H8:H34)</f>
        <v>6463.8607874999998</v>
      </c>
      <c r="I35" s="85"/>
      <c r="J35" s="85"/>
      <c r="K35" s="85">
        <f>SUM(K8:K34)</f>
        <v>5227.384712877787</v>
      </c>
      <c r="L35" s="85"/>
      <c r="M35" s="85"/>
      <c r="N35" s="85">
        <f>SUM(N8:N34)</f>
        <v>4844.4495253777877</v>
      </c>
      <c r="O35" s="85"/>
      <c r="P35" s="86"/>
      <c r="Q35" s="85">
        <f>SUM(Q8:Q34)</f>
        <v>4379.9205253777873</v>
      </c>
    </row>
    <row r="36" spans="1:19" ht="16.05" customHeight="1" x14ac:dyDescent="0.35">
      <c r="B36" s="77" t="s">
        <v>20</v>
      </c>
      <c r="C36" s="77"/>
      <c r="D36" s="78" t="s">
        <v>3</v>
      </c>
      <c r="E36" s="79" t="s">
        <v>4</v>
      </c>
      <c r="F36" s="80"/>
      <c r="G36" s="79" t="s">
        <v>5</v>
      </c>
      <c r="H36" s="79" t="s">
        <v>6</v>
      </c>
      <c r="I36" s="81"/>
      <c r="J36" s="79" t="s">
        <v>5</v>
      </c>
      <c r="K36" s="79" t="s">
        <v>7</v>
      </c>
      <c r="L36" s="81"/>
      <c r="M36" s="79" t="s">
        <v>5</v>
      </c>
      <c r="N36" s="79" t="s">
        <v>6</v>
      </c>
      <c r="O36" s="82"/>
      <c r="P36" s="79" t="s">
        <v>5</v>
      </c>
      <c r="Q36" s="79" t="s">
        <v>6</v>
      </c>
    </row>
    <row r="37" spans="1:19" ht="16.05" customHeight="1" x14ac:dyDescent="0.35">
      <c r="B37" s="7" t="s">
        <v>48</v>
      </c>
      <c r="C37" s="7"/>
      <c r="D37" s="37" t="s">
        <v>10</v>
      </c>
      <c r="E37" s="15">
        <v>185</v>
      </c>
      <c r="F37" s="7"/>
      <c r="G37" s="12">
        <v>1</v>
      </c>
      <c r="H37" s="85">
        <f>$E37*G37</f>
        <v>185</v>
      </c>
      <c r="I37" s="7"/>
      <c r="J37" s="12">
        <v>1</v>
      </c>
      <c r="K37" s="85">
        <f>$E37*J37</f>
        <v>185</v>
      </c>
      <c r="L37" s="7"/>
      <c r="M37" s="12">
        <v>1</v>
      </c>
      <c r="N37" s="85">
        <f>$E37*M37</f>
        <v>185</v>
      </c>
      <c r="O37" s="7"/>
      <c r="P37" s="12">
        <v>1</v>
      </c>
      <c r="Q37" s="85">
        <f>$E37*P37</f>
        <v>185</v>
      </c>
    </row>
    <row r="38" spans="1:19" ht="16.05" customHeight="1" x14ac:dyDescent="0.35">
      <c r="B38" s="7" t="s">
        <v>81</v>
      </c>
      <c r="C38" s="7"/>
      <c r="D38" s="37" t="s">
        <v>10</v>
      </c>
      <c r="E38" s="15">
        <v>616.05999999999995</v>
      </c>
      <c r="F38" s="7"/>
      <c r="G38" s="12">
        <v>1</v>
      </c>
      <c r="H38" s="85">
        <f>$E38*G38</f>
        <v>616.05999999999995</v>
      </c>
      <c r="I38" s="7"/>
      <c r="J38" s="12">
        <v>1</v>
      </c>
      <c r="K38" s="85">
        <f>$E38*J38</f>
        <v>616.05999999999995</v>
      </c>
      <c r="L38" s="7"/>
      <c r="M38" s="12">
        <v>1</v>
      </c>
      <c r="N38" s="85">
        <f>$E38*M38</f>
        <v>616.05999999999995</v>
      </c>
      <c r="O38" s="7"/>
      <c r="P38" s="12">
        <v>1</v>
      </c>
      <c r="Q38" s="85">
        <f>$E38*P38</f>
        <v>616.05999999999995</v>
      </c>
    </row>
    <row r="39" spans="1:19" ht="16.05" customHeight="1" x14ac:dyDescent="0.35">
      <c r="B39" s="7" t="s">
        <v>46</v>
      </c>
      <c r="C39" s="7"/>
      <c r="D39" s="37" t="s">
        <v>10</v>
      </c>
      <c r="E39" s="15">
        <v>500</v>
      </c>
      <c r="F39" s="7"/>
      <c r="G39" s="12">
        <v>1</v>
      </c>
      <c r="H39" s="83">
        <f>$E$39*G39</f>
        <v>500</v>
      </c>
      <c r="I39" s="7"/>
      <c r="J39" s="16">
        <v>1</v>
      </c>
      <c r="K39" s="83">
        <f>$E$39*J39</f>
        <v>500</v>
      </c>
      <c r="L39" s="7"/>
      <c r="M39" s="12">
        <v>1</v>
      </c>
      <c r="N39" s="91">
        <f>$E$39*M39</f>
        <v>500</v>
      </c>
      <c r="O39" s="7"/>
      <c r="P39" s="12">
        <v>1</v>
      </c>
      <c r="Q39" s="83">
        <f>$E$39*P39</f>
        <v>500</v>
      </c>
    </row>
    <row r="40" spans="1:19" ht="16.05" customHeight="1" x14ac:dyDescent="0.35">
      <c r="C40" s="84" t="s">
        <v>21</v>
      </c>
      <c r="D40"/>
      <c r="E40" s="7"/>
      <c r="F40" s="7"/>
      <c r="G40" s="7"/>
      <c r="H40" s="85">
        <f>SUM(H37:H39)</f>
        <v>1301.06</v>
      </c>
      <c r="I40" s="7"/>
      <c r="J40" s="7"/>
      <c r="K40" s="85">
        <f>SUM(K37:K39)</f>
        <v>1301.06</v>
      </c>
      <c r="L40" s="7"/>
      <c r="M40" s="7"/>
      <c r="N40" s="85">
        <f>SUM(N37:N39)</f>
        <v>1301.06</v>
      </c>
      <c r="O40" s="7"/>
      <c r="P40" s="7"/>
      <c r="Q40" s="85">
        <f>SUM(Q37:Q39)</f>
        <v>1301.06</v>
      </c>
    </row>
    <row r="41" spans="1:19" ht="16.05" customHeight="1" x14ac:dyDescent="0.35">
      <c r="B41" s="94"/>
      <c r="C41" s="92" t="s">
        <v>13</v>
      </c>
      <c r="D41" s="17"/>
      <c r="E41" s="93"/>
      <c r="F41" s="93"/>
      <c r="G41" s="93"/>
      <c r="H41" s="83">
        <f>H35+H40</f>
        <v>7764.9207874999993</v>
      </c>
      <c r="I41" s="83"/>
      <c r="J41" s="83"/>
      <c r="K41" s="83">
        <f>K35+K40</f>
        <v>6528.4447128777865</v>
      </c>
      <c r="L41" s="83"/>
      <c r="M41" s="83"/>
      <c r="N41" s="83">
        <f>N35+N40</f>
        <v>6145.5095253777872</v>
      </c>
      <c r="O41" s="83"/>
      <c r="P41" s="83"/>
      <c r="Q41" s="83">
        <f>Q35+Q40</f>
        <v>5680.9805253777868</v>
      </c>
      <c r="R41" s="94"/>
    </row>
    <row r="42" spans="1:19" ht="16.05" customHeight="1" x14ac:dyDescent="0.35">
      <c r="B42" s="123" t="s">
        <v>22</v>
      </c>
      <c r="C42" s="123"/>
      <c r="D42" s="123"/>
      <c r="E42" s="7"/>
      <c r="F42" s="7"/>
      <c r="G42" s="7"/>
      <c r="H42" s="85">
        <f>H6-H35</f>
        <v>-6463.8607874999998</v>
      </c>
      <c r="I42" s="85"/>
      <c r="J42" s="85"/>
      <c r="K42" s="85">
        <f>K6-K35</f>
        <v>14452.615287122213</v>
      </c>
      <c r="L42" s="85"/>
      <c r="M42" s="85"/>
      <c r="N42" s="85">
        <f>N6-N35</f>
        <v>9915.5504746222123</v>
      </c>
      <c r="O42" s="85"/>
      <c r="P42" s="85"/>
      <c r="Q42" s="85">
        <f>Q6-Q35</f>
        <v>5460.0794746222127</v>
      </c>
    </row>
    <row r="43" spans="1:19" ht="16.05" customHeight="1" thickBot="1" x14ac:dyDescent="0.4">
      <c r="B43" s="124" t="s">
        <v>14</v>
      </c>
      <c r="C43" s="124"/>
      <c r="D43" s="124"/>
      <c r="E43" s="96"/>
      <c r="F43" s="96"/>
      <c r="G43" s="96"/>
      <c r="H43" s="97">
        <f>H6-H41</f>
        <v>-7764.9207874999993</v>
      </c>
      <c r="I43" s="97"/>
      <c r="J43" s="97"/>
      <c r="K43" s="97">
        <f>K6-K41</f>
        <v>13151.555287122213</v>
      </c>
      <c r="L43" s="97"/>
      <c r="M43" s="97"/>
      <c r="N43" s="97">
        <f>N6-N41</f>
        <v>8614.4904746222128</v>
      </c>
      <c r="O43" s="97"/>
      <c r="P43" s="97"/>
      <c r="Q43" s="97">
        <f>Q6-Q41</f>
        <v>4159.0194746222132</v>
      </c>
      <c r="R43" s="95"/>
    </row>
    <row r="44" spans="1:19" ht="16.05" customHeight="1" thickTop="1" x14ac:dyDescent="0.35">
      <c r="B44" s="37" t="s">
        <v>38</v>
      </c>
      <c r="C44" s="37"/>
      <c r="D44" s="37"/>
      <c r="E44" s="37"/>
      <c r="F44" s="37"/>
      <c r="G44" s="37"/>
      <c r="H44" s="37"/>
      <c r="I44" s="37"/>
      <c r="J44" s="37"/>
      <c r="K44" s="37"/>
      <c r="L44" s="37"/>
      <c r="M44" s="37"/>
      <c r="N44" s="37"/>
      <c r="O44" s="37"/>
      <c r="P44" s="37"/>
      <c r="Q44" s="37"/>
      <c r="R44" s="37"/>
      <c r="S44" s="37"/>
    </row>
    <row r="45" spans="1:19" ht="16.05" hidden="1" customHeight="1" x14ac:dyDescent="0.35">
      <c r="B45"/>
      <c r="C45"/>
      <c r="D45"/>
      <c r="E45"/>
      <c r="F45"/>
      <c r="G45"/>
      <c r="H45"/>
      <c r="I45"/>
      <c r="J45"/>
      <c r="K45"/>
      <c r="L45"/>
      <c r="M45"/>
      <c r="N45"/>
      <c r="O45"/>
      <c r="P45"/>
      <c r="Q45"/>
    </row>
    <row r="46" spans="1:19" ht="16.05" hidden="1" customHeight="1" x14ac:dyDescent="0.35">
      <c r="B46" s="98"/>
      <c r="C46" s="98"/>
      <c r="D46"/>
      <c r="E46"/>
      <c r="F46"/>
      <c r="G46"/>
      <c r="H46"/>
      <c r="I46"/>
      <c r="J46"/>
      <c r="K46"/>
      <c r="L46"/>
      <c r="M46"/>
      <c r="N46"/>
      <c r="O46"/>
      <c r="P46"/>
      <c r="Q46"/>
    </row>
    <row r="47" spans="1:19" ht="16.05" hidden="1" customHeight="1" x14ac:dyDescent="0.35">
      <c r="B47"/>
      <c r="C47"/>
      <c r="D47"/>
      <c r="E47"/>
      <c r="F47" s="122"/>
      <c r="G47" s="122"/>
      <c r="H47"/>
      <c r="I47"/>
      <c r="J47"/>
      <c r="K47"/>
      <c r="L47"/>
      <c r="M47"/>
      <c r="N47"/>
      <c r="O47"/>
      <c r="P47"/>
      <c r="Q47"/>
      <c r="R47"/>
    </row>
    <row r="48" spans="1:19" ht="16.05" hidden="1" customHeight="1" x14ac:dyDescent="0.35">
      <c r="B48"/>
      <c r="C48"/>
      <c r="D48"/>
      <c r="E48"/>
      <c r="F48" s="122"/>
      <c r="G48" s="122"/>
      <c r="H48"/>
      <c r="I48"/>
      <c r="J48" s="99"/>
      <c r="K48" s="100"/>
      <c r="L48" s="100"/>
      <c r="M48" s="100"/>
      <c r="N48" s="100"/>
      <c r="O48" s="100"/>
      <c r="P48"/>
      <c r="Q48"/>
    </row>
    <row r="49" spans="2:17" ht="16.05" hidden="1" customHeight="1" x14ac:dyDescent="0.35">
      <c r="B49"/>
      <c r="C49"/>
      <c r="D49"/>
      <c r="E49" s="122"/>
      <c r="F49" s="122"/>
      <c r="G49" s="122"/>
      <c r="H49"/>
      <c r="I49"/>
      <c r="J49" s="99"/>
      <c r="K49" s="100"/>
      <c r="L49" s="100"/>
      <c r="M49" s="100"/>
      <c r="N49" s="100"/>
      <c r="O49" s="100"/>
      <c r="P49"/>
      <c r="Q49"/>
    </row>
    <row r="50" spans="2:17" ht="16.05" hidden="1" customHeight="1" x14ac:dyDescent="0.35">
      <c r="B50"/>
      <c r="C50"/>
      <c r="E50" s="59"/>
      <c r="F50" s="59"/>
      <c r="G50" s="59"/>
      <c r="H50"/>
      <c r="I50"/>
      <c r="J50" s="99"/>
      <c r="K50" s="100"/>
      <c r="L50" s="100"/>
      <c r="M50" s="100"/>
      <c r="N50" s="100"/>
      <c r="O50" s="100"/>
      <c r="P50"/>
      <c r="Q50"/>
    </row>
    <row r="51" spans="2:17" ht="16.05" hidden="1" customHeight="1" x14ac:dyDescent="0.35">
      <c r="B51"/>
      <c r="C51"/>
      <c r="D51" s="59"/>
      <c r="E51" s="59"/>
      <c r="F51" s="59"/>
      <c r="G51"/>
      <c r="H51"/>
      <c r="I51"/>
      <c r="J51" s="121"/>
      <c r="K51" s="121"/>
      <c r="L51" s="121"/>
      <c r="M51" s="121"/>
      <c r="N51" s="121"/>
      <c r="O51" s="121"/>
      <c r="P51"/>
      <c r="Q51"/>
    </row>
    <row r="52" spans="2:17" ht="16.05" hidden="1" customHeight="1" x14ac:dyDescent="0.35">
      <c r="B52" s="98"/>
      <c r="C52" s="98"/>
      <c r="D52" s="59"/>
      <c r="E52" s="59"/>
      <c r="F52" s="59"/>
      <c r="G52" s="101"/>
      <c r="H52"/>
      <c r="I52"/>
      <c r="J52" s="121"/>
      <c r="K52" s="121"/>
      <c r="L52" s="121"/>
      <c r="M52" s="121"/>
      <c r="N52" s="121"/>
      <c r="O52" s="121"/>
      <c r="P52"/>
      <c r="Q52"/>
    </row>
    <row r="53" spans="2:17" ht="16.05" hidden="1" customHeight="1" x14ac:dyDescent="0.35">
      <c r="B53"/>
      <c r="C53"/>
      <c r="D53" s="59"/>
      <c r="E53" s="59"/>
      <c r="F53" s="59"/>
      <c r="G53" s="102"/>
      <c r="H53"/>
      <c r="I53"/>
      <c r="K53"/>
      <c r="L53"/>
      <c r="M53"/>
      <c r="N53"/>
      <c r="O53"/>
      <c r="P53"/>
      <c r="Q53"/>
    </row>
    <row r="54" spans="2:17" ht="16.05" hidden="1" customHeight="1" x14ac:dyDescent="0.35">
      <c r="B54"/>
      <c r="C54"/>
      <c r="D54"/>
      <c r="E54"/>
      <c r="F54"/>
      <c r="G54" s="102"/>
      <c r="H54"/>
      <c r="I54"/>
      <c r="J54"/>
      <c r="K54"/>
      <c r="L54"/>
      <c r="M54"/>
      <c r="N54"/>
      <c r="O54"/>
      <c r="P54"/>
      <c r="Q54"/>
    </row>
    <row r="55" spans="2:17" ht="16.05" hidden="1" customHeight="1" x14ac:dyDescent="0.35">
      <c r="B55"/>
      <c r="C55"/>
      <c r="D55"/>
      <c r="E55"/>
      <c r="F55"/>
      <c r="G55" s="102"/>
      <c r="H55"/>
      <c r="I55"/>
      <c r="J55"/>
      <c r="K55"/>
      <c r="L55"/>
      <c r="M55"/>
      <c r="N55"/>
      <c r="O55"/>
      <c r="P55"/>
      <c r="Q55"/>
    </row>
  </sheetData>
  <sheetProtection sheet="1" objects="1" scenarios="1"/>
  <mergeCells count="11">
    <mergeCell ref="P3:Q3"/>
    <mergeCell ref="B2:R2"/>
    <mergeCell ref="J51:O52"/>
    <mergeCell ref="F47:G47"/>
    <mergeCell ref="F48:G48"/>
    <mergeCell ref="E49:G49"/>
    <mergeCell ref="G3:H3"/>
    <mergeCell ref="J3:K3"/>
    <mergeCell ref="M3:N3"/>
    <mergeCell ref="B42:D42"/>
    <mergeCell ref="B43:D43"/>
  </mergeCells>
  <pageMargins left="0.5" right="0.5" top="0.25" bottom="0.25" header="0.5" footer="0.5"/>
  <pageSetup scale="73" fitToHeight="0" orientation="landscape" r:id="rId1"/>
  <rowBreaks count="1" manualBreakCount="1">
    <brk id="1180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pageSetUpPr fitToPage="1"/>
  </sheetPr>
  <dimension ref="A1:L48"/>
  <sheetViews>
    <sheetView workbookViewId="0"/>
  </sheetViews>
  <sheetFormatPr defaultColWidth="0" defaultRowHeight="14.4" zeroHeight="1" x14ac:dyDescent="0.3"/>
  <cols>
    <col min="1" max="1" width="3.09765625" customWidth="1"/>
    <col min="2" max="2" width="8.59765625" customWidth="1"/>
    <col min="3" max="3" width="10.09765625" customWidth="1"/>
    <col min="4" max="4" width="9.296875" customWidth="1"/>
    <col min="5" max="5" width="11.796875" customWidth="1"/>
    <col min="6" max="6" width="9.59765625" bestFit="1" customWidth="1"/>
    <col min="7" max="7" width="9.09765625" bestFit="1" customWidth="1"/>
    <col min="8" max="8" width="9.796875" customWidth="1"/>
    <col min="9" max="9" width="11" customWidth="1"/>
    <col min="10" max="10" width="9.796875" bestFit="1" customWidth="1"/>
    <col min="11" max="11" width="10.09765625" customWidth="1"/>
    <col min="12" max="12" width="3.09765625" customWidth="1"/>
    <col min="13" max="16384" width="8.59765625" hidden="1"/>
  </cols>
  <sheetData>
    <row r="1" spans="1:12" ht="15.6" x14ac:dyDescent="0.3">
      <c r="A1" s="4"/>
      <c r="B1" s="137" t="s">
        <v>83</v>
      </c>
      <c r="C1" s="137"/>
      <c r="D1" s="137"/>
      <c r="E1" s="137"/>
      <c r="F1" s="137"/>
      <c r="G1" s="137"/>
      <c r="H1" s="137"/>
      <c r="I1" s="137"/>
      <c r="J1" s="137"/>
      <c r="K1" s="137"/>
      <c r="L1" s="4"/>
    </row>
    <row r="2" spans="1:12" ht="34.049999999999997" customHeight="1" x14ac:dyDescent="0.3">
      <c r="A2" s="4"/>
      <c r="B2" s="139" t="s">
        <v>82</v>
      </c>
      <c r="C2" s="139"/>
      <c r="D2" s="139"/>
      <c r="E2" s="139"/>
      <c r="F2" s="139"/>
      <c r="G2" s="139"/>
      <c r="H2" s="139"/>
      <c r="I2" s="139"/>
      <c r="J2" s="139"/>
      <c r="K2" s="139"/>
      <c r="L2" s="4"/>
    </row>
    <row r="3" spans="1:12" s="18" customFormat="1" ht="16.5" customHeight="1" x14ac:dyDescent="0.3">
      <c r="A3" s="4"/>
      <c r="B3" s="106"/>
      <c r="C3" s="107"/>
      <c r="D3" s="107"/>
      <c r="E3" s="147" t="s">
        <v>49</v>
      </c>
      <c r="F3" s="148"/>
      <c r="G3" s="148"/>
      <c r="H3" s="148"/>
      <c r="I3" s="148"/>
      <c r="J3" s="148"/>
      <c r="K3" s="149"/>
      <c r="L3" s="4"/>
    </row>
    <row r="4" spans="1:12" ht="16.5" customHeight="1" x14ac:dyDescent="0.3">
      <c r="A4" s="4"/>
      <c r="B4" s="116"/>
      <c r="C4" s="117"/>
      <c r="D4" s="117"/>
      <c r="E4" s="108" t="s">
        <v>33</v>
      </c>
      <c r="F4" s="109" t="s">
        <v>32</v>
      </c>
      <c r="G4" s="109" t="s">
        <v>28</v>
      </c>
      <c r="H4" s="109" t="s">
        <v>26</v>
      </c>
      <c r="I4" s="109" t="s">
        <v>24</v>
      </c>
      <c r="J4" s="109" t="s">
        <v>30</v>
      </c>
      <c r="K4" s="110" t="s">
        <v>31</v>
      </c>
      <c r="L4" s="4"/>
    </row>
    <row r="5" spans="1:12" ht="16.5" customHeight="1" x14ac:dyDescent="0.3">
      <c r="A5" s="4"/>
      <c r="B5" s="39"/>
      <c r="C5" s="40"/>
      <c r="D5" s="115"/>
      <c r="E5" s="111">
        <f>H5*70%</f>
        <v>2800</v>
      </c>
      <c r="F5" s="112">
        <f>H5*80%</f>
        <v>3200</v>
      </c>
      <c r="G5" s="112">
        <f>H5*90%</f>
        <v>3600</v>
      </c>
      <c r="H5" s="113">
        <f>Budget!J5</f>
        <v>4000</v>
      </c>
      <c r="I5" s="112">
        <f>H5*110%</f>
        <v>4400</v>
      </c>
      <c r="J5" s="112">
        <f>H5*120%</f>
        <v>4800</v>
      </c>
      <c r="K5" s="114">
        <f>H5*130%</f>
        <v>5200</v>
      </c>
      <c r="L5" s="4"/>
    </row>
    <row r="6" spans="1:12" ht="16.5" customHeight="1" x14ac:dyDescent="0.3">
      <c r="A6" s="4"/>
      <c r="B6" s="140" t="s">
        <v>50</v>
      </c>
      <c r="C6" s="41" t="s">
        <v>29</v>
      </c>
      <c r="D6" s="61">
        <f>D9*85%</f>
        <v>4.1819999999999995</v>
      </c>
      <c r="E6" s="65">
        <f>(D6*$E$5)-Budget!$K$41</f>
        <v>5181.155287122212</v>
      </c>
      <c r="F6" s="25">
        <f>(D6*$F$5)-Budget!$K$41</f>
        <v>6853.9552871222113</v>
      </c>
      <c r="G6" s="19">
        <f>(D6*$G$5)-Budget!$K$41</f>
        <v>8526.7552871222124</v>
      </c>
      <c r="H6" s="19">
        <f>(D6*$H$5)-Budget!$K$41</f>
        <v>10199.55528712221</v>
      </c>
      <c r="I6" s="19">
        <f>(D6*$I$5)-Budget!$K$41</f>
        <v>11872.355287122213</v>
      </c>
      <c r="J6" s="19">
        <f>(D6*$J$5)-Budget!$K$41</f>
        <v>13545.155287122212</v>
      </c>
      <c r="K6" s="20">
        <f>(D6*$K$5)-Budget!$K$41</f>
        <v>15217.955287122211</v>
      </c>
      <c r="L6" s="4"/>
    </row>
    <row r="7" spans="1:12" ht="16.5" customHeight="1" x14ac:dyDescent="0.3">
      <c r="A7" s="4"/>
      <c r="B7" s="140"/>
      <c r="C7" s="42" t="s">
        <v>28</v>
      </c>
      <c r="D7" s="62">
        <f>D9*90%</f>
        <v>4.4279999999999999</v>
      </c>
      <c r="E7" s="66">
        <f>(D7*$E$5)-Budget!$K$41</f>
        <v>5869.9552871222131</v>
      </c>
      <c r="F7" s="27">
        <f>(D7*$F$5)-Budget!$K$41</f>
        <v>7641.1552871222138</v>
      </c>
      <c r="G7" s="21">
        <f>(D7*$G$5)-Budget!$K$41</f>
        <v>9412.3552871222128</v>
      </c>
      <c r="H7" s="21">
        <f>(D7*$H$5)-Budget!$K$41</f>
        <v>11183.555287122213</v>
      </c>
      <c r="I7" s="21">
        <f>(D7*$I$5)-Budget!$K$41</f>
        <v>12954.755287122214</v>
      </c>
      <c r="J7" s="21">
        <f>(D7*$J$5)-Budget!$K$41</f>
        <v>14725.955287122215</v>
      </c>
      <c r="K7" s="22">
        <f>(D7*$K$5)-Budget!$K$41</f>
        <v>16497.155287122212</v>
      </c>
      <c r="L7" s="4"/>
    </row>
    <row r="8" spans="1:12" ht="16.5" customHeight="1" thickBot="1" x14ac:dyDescent="0.35">
      <c r="A8" s="4"/>
      <c r="B8" s="140"/>
      <c r="C8" s="43" t="s">
        <v>27</v>
      </c>
      <c r="D8" s="62">
        <f>D9*0.95</f>
        <v>4.6739999999999995</v>
      </c>
      <c r="E8" s="66">
        <f>(D8*$E$5)-Budget!$K$41</f>
        <v>6558.7552871222124</v>
      </c>
      <c r="F8" s="27">
        <f>(D8*$F$5)-Budget!$K$41</f>
        <v>8428.3552871222128</v>
      </c>
      <c r="G8" s="21">
        <f>(D8*$G$5)-Budget!$K$41</f>
        <v>10297.955287122211</v>
      </c>
      <c r="H8" s="21">
        <f>(D8*$H$5)-Budget!$K$41</f>
        <v>12167.55528712221</v>
      </c>
      <c r="I8" s="21">
        <f>(D8*$I$5)-Budget!$K$41</f>
        <v>14037.155287122212</v>
      </c>
      <c r="J8" s="21">
        <f>(D8*$J$5)-Budget!$K$41</f>
        <v>15906.755287122211</v>
      </c>
      <c r="K8" s="22">
        <f>(D8*$K$5)-Budget!$K$41</f>
        <v>17776.355287122209</v>
      </c>
      <c r="L8" s="4"/>
    </row>
    <row r="9" spans="1:12" ht="16.5" customHeight="1" thickBot="1" x14ac:dyDescent="0.35">
      <c r="A9" s="4"/>
      <c r="B9" s="140"/>
      <c r="C9" s="42" t="s">
        <v>26</v>
      </c>
      <c r="D9" s="63">
        <f>Budget!E5</f>
        <v>4.92</v>
      </c>
      <c r="E9" s="66">
        <f>(D9*$E$5)-Budget!$K$41</f>
        <v>7247.5552871222135</v>
      </c>
      <c r="F9" s="27">
        <f>(D9*$F$5)-Budget!$K$41</f>
        <v>9215.5552871222135</v>
      </c>
      <c r="G9" s="21">
        <f>(D9*$G$5)-Budget!$K$41</f>
        <v>11183.555287122213</v>
      </c>
      <c r="H9" s="68">
        <f>(D9*$H$5)-Budget!$K$41</f>
        <v>13151.555287122213</v>
      </c>
      <c r="I9" s="21">
        <f>(D9*$I$5)-Budget!$K$41</f>
        <v>15119.555287122213</v>
      </c>
      <c r="J9" s="21">
        <f>(D9*$J$5)-Budget!$K$41</f>
        <v>17087.555287122213</v>
      </c>
      <c r="K9" s="22">
        <f>(D9*$K$5)-Budget!$K$41</f>
        <v>19055.555287122213</v>
      </c>
      <c r="L9" s="4"/>
    </row>
    <row r="10" spans="1:12" ht="16.5" customHeight="1" x14ac:dyDescent="0.3">
      <c r="A10" s="4"/>
      <c r="B10" s="140"/>
      <c r="C10" s="42" t="s">
        <v>25</v>
      </c>
      <c r="D10" s="62">
        <f>D9*105%</f>
        <v>5.1660000000000004</v>
      </c>
      <c r="E10" s="66">
        <f>(D10*$E$5)-Budget!$K$41</f>
        <v>7936.3552871222146</v>
      </c>
      <c r="F10" s="27">
        <f>(D10*$F$5)-Budget!$K$41</f>
        <v>10002.755287122214</v>
      </c>
      <c r="G10" s="21">
        <f>(D10*$G$5)-Budget!$K$41</f>
        <v>12069.155287122216</v>
      </c>
      <c r="H10" s="21">
        <f>(D10*$H$5)-Budget!$K$41</f>
        <v>14135.555287122213</v>
      </c>
      <c r="I10" s="21">
        <f>(D10*$I$5)-Budget!$K$41</f>
        <v>16201.955287122215</v>
      </c>
      <c r="J10" s="21">
        <f>(D10*$J$5)-Budget!$K$41</f>
        <v>18268.355287122216</v>
      </c>
      <c r="K10" s="22">
        <f>(D10*$K$5)-Budget!$K$41</f>
        <v>20334.755287122214</v>
      </c>
      <c r="L10" s="4"/>
    </row>
    <row r="11" spans="1:12" ht="16.5" customHeight="1" x14ac:dyDescent="0.3">
      <c r="A11" s="4"/>
      <c r="B11" s="140"/>
      <c r="C11" s="42" t="s">
        <v>24</v>
      </c>
      <c r="D11" s="62">
        <f>D9*110%</f>
        <v>5.4119999999999999</v>
      </c>
      <c r="E11" s="66">
        <f>(D11*$E$5)-Budget!$K$41</f>
        <v>8625.1552871222138</v>
      </c>
      <c r="F11" s="27">
        <f>(D11*$F$5)-Budget!$K$41</f>
        <v>10789.955287122215</v>
      </c>
      <c r="G11" s="21">
        <f>(D11*$G$5)-Budget!$K$41</f>
        <v>12954.755287122214</v>
      </c>
      <c r="H11" s="21">
        <f>(D11*$H$5)-Budget!$K$41</f>
        <v>15119.555287122213</v>
      </c>
      <c r="I11" s="21">
        <f>(D11*$I$5)-Budget!$K$41</f>
        <v>17284.355287122213</v>
      </c>
      <c r="J11" s="21">
        <f>(D11*$J$5)-Budget!$K$41</f>
        <v>19449.155287122212</v>
      </c>
      <c r="K11" s="22">
        <f>(D11*$K$5)-Budget!$K$41</f>
        <v>21613.955287122211</v>
      </c>
      <c r="L11" s="4"/>
    </row>
    <row r="12" spans="1:12" s="17" customFormat="1" ht="16.5" customHeight="1" x14ac:dyDescent="0.3">
      <c r="A12" s="4"/>
      <c r="B12" s="141"/>
      <c r="C12" s="44" t="s">
        <v>23</v>
      </c>
      <c r="D12" s="64">
        <f>D9*115%</f>
        <v>5.6579999999999995</v>
      </c>
      <c r="E12" s="67">
        <f>(D12*$E$5)-Budget!$K$41</f>
        <v>9313.9552871222113</v>
      </c>
      <c r="F12" s="30">
        <f>(D12*$F$5)-Budget!$K$41</f>
        <v>11577.155287122212</v>
      </c>
      <c r="G12" s="23">
        <f>(D12*$G$5)-Budget!$K$41</f>
        <v>13840.355287122213</v>
      </c>
      <c r="H12" s="23">
        <f>(D12*$H$5)-Budget!$K$41</f>
        <v>16103.55528712221</v>
      </c>
      <c r="I12" s="23">
        <f>(D12*$I$5)-Budget!$K$41</f>
        <v>18366.755287122211</v>
      </c>
      <c r="J12" s="23">
        <f>(D12*$J$5)-Budget!$K$41</f>
        <v>20629.955287122211</v>
      </c>
      <c r="K12" s="24">
        <f>(D12*$K$5)-Budget!$K$41</f>
        <v>22893.155287122212</v>
      </c>
      <c r="L12" s="4"/>
    </row>
    <row r="13" spans="1:12" s="4" customFormat="1" ht="8.1" customHeight="1" x14ac:dyDescent="0.3">
      <c r="B13" s="6"/>
      <c r="C13" s="6"/>
      <c r="D13" s="6"/>
      <c r="E13" s="6"/>
      <c r="F13" s="6"/>
      <c r="G13" s="6"/>
      <c r="H13" s="6"/>
      <c r="I13" s="6"/>
      <c r="J13" s="6"/>
      <c r="K13" s="6"/>
    </row>
    <row r="14" spans="1:12" s="4" customFormat="1" ht="15.6" x14ac:dyDescent="0.3">
      <c r="B14" s="137" t="s">
        <v>96</v>
      </c>
      <c r="C14" s="137"/>
      <c r="D14" s="137"/>
      <c r="E14" s="137"/>
      <c r="F14" s="137"/>
      <c r="G14" s="137"/>
      <c r="H14" s="137"/>
      <c r="I14" s="137"/>
      <c r="J14" s="137"/>
      <c r="K14" s="137"/>
    </row>
    <row r="15" spans="1:12" s="4" customFormat="1" ht="35.1" customHeight="1" x14ac:dyDescent="0.3">
      <c r="B15" s="139" t="s">
        <v>84</v>
      </c>
      <c r="C15" s="139"/>
      <c r="D15" s="139"/>
      <c r="E15" s="139"/>
      <c r="F15" s="139"/>
      <c r="G15" s="139"/>
      <c r="H15" s="139"/>
      <c r="I15" s="139"/>
      <c r="J15" s="139"/>
      <c r="K15" s="139"/>
    </row>
    <row r="16" spans="1:12" ht="16.5" customHeight="1" x14ac:dyDescent="0.3">
      <c r="A16" s="4"/>
      <c r="B16" s="38"/>
      <c r="C16" s="38"/>
      <c r="D16" s="45"/>
      <c r="E16" s="142" t="s">
        <v>2</v>
      </c>
      <c r="F16" s="143"/>
      <c r="G16" s="143"/>
      <c r="H16" s="143"/>
      <c r="I16" s="143"/>
      <c r="J16" s="143"/>
      <c r="K16" s="144"/>
      <c r="L16" s="4"/>
    </row>
    <row r="17" spans="1:12" ht="16.5" customHeight="1" x14ac:dyDescent="0.3">
      <c r="A17" s="4"/>
      <c r="B17" s="39"/>
      <c r="C17" s="39"/>
      <c r="D17" s="46"/>
      <c r="E17" s="47" t="s">
        <v>29</v>
      </c>
      <c r="F17" s="47" t="s">
        <v>28</v>
      </c>
      <c r="G17" s="47" t="s">
        <v>27</v>
      </c>
      <c r="H17" s="47" t="s">
        <v>26</v>
      </c>
      <c r="I17" s="47" t="s">
        <v>25</v>
      </c>
      <c r="J17" s="47" t="s">
        <v>24</v>
      </c>
      <c r="K17" s="48" t="s">
        <v>23</v>
      </c>
      <c r="L17" s="4"/>
    </row>
    <row r="18" spans="1:12" ht="16.5" customHeight="1" x14ac:dyDescent="0.3">
      <c r="A18" s="4"/>
      <c r="B18" s="145" t="s">
        <v>18</v>
      </c>
      <c r="C18" s="49"/>
      <c r="D18" s="50" t="s">
        <v>29</v>
      </c>
      <c r="E18" s="69">
        <f>(Budget!K6*0.85)-(Budget!K35*0.85)-Budget!K40</f>
        <v>10983.662994053882</v>
      </c>
      <c r="F18" s="70">
        <f>(Budget!K6*0.9)-(Budget!K35*0.85)-Budget!K40</f>
        <v>11967.662994053882</v>
      </c>
      <c r="G18" s="70">
        <f>(Budget!K6*0.95)-(Budget!K35*0.85)-Budget!K40</f>
        <v>12951.662994053882</v>
      </c>
      <c r="H18" s="25">
        <f>Budget!K6-(Budget!K35*0.85)-Budget!K40</f>
        <v>13935.662994053882</v>
      </c>
      <c r="I18" s="25">
        <f>(Budget!K6*1.05)-(Budget!K35*0.85)-Budget!K40</f>
        <v>14919.662994053882</v>
      </c>
      <c r="J18" s="25">
        <f>(Budget!K6*1.1)-(Budget!K35*0.85)-Budget!K40</f>
        <v>15903.662994053882</v>
      </c>
      <c r="K18" s="26">
        <f>(Budget!K6*1.15)-(Budget!K35*0.85)-Budget!K40</f>
        <v>16887.662994053881</v>
      </c>
      <c r="L18" s="4"/>
    </row>
    <row r="19" spans="1:12" ht="16.5" customHeight="1" x14ac:dyDescent="0.3">
      <c r="A19" s="4"/>
      <c r="B19" s="145"/>
      <c r="C19" s="49"/>
      <c r="D19" s="50" t="s">
        <v>28</v>
      </c>
      <c r="E19" s="71">
        <f>(Budget!K6*0.85)-(Budget!K35*0.9)-Budget!K40</f>
        <v>10722.293758409991</v>
      </c>
      <c r="F19" s="72">
        <f>(Budget!K6*0.9)-(Budget!K35*0.9)-Budget!K40</f>
        <v>11706.293758409991</v>
      </c>
      <c r="G19" s="72">
        <f>(Budget!K6*0.95)-(Budget!K35*0.9)-Budget!K40</f>
        <v>12690.293758409991</v>
      </c>
      <c r="H19" s="27">
        <f>Budget!K6-(Budget!K35*0.9)-Budget!K40</f>
        <v>13674.293758409991</v>
      </c>
      <c r="I19" s="27">
        <f>(Budget!K6*1.05)-(Budget!K35*0.9)-Budget!K40</f>
        <v>14658.293758409991</v>
      </c>
      <c r="J19" s="27">
        <f>(Budget!K6*1.1)-(Budget!K35*0.9)-Budget!K40</f>
        <v>15642.293758409991</v>
      </c>
      <c r="K19" s="28">
        <f>(Budget!K6*1.15)-(Budget!K35*0.9)-Budget!K40</f>
        <v>16626.293758409989</v>
      </c>
      <c r="L19" s="4"/>
    </row>
    <row r="20" spans="1:12" ht="16.5" customHeight="1" thickBot="1" x14ac:dyDescent="0.35">
      <c r="A20" s="4"/>
      <c r="B20" s="145"/>
      <c r="C20" s="49"/>
      <c r="D20" s="50" t="s">
        <v>27</v>
      </c>
      <c r="E20" s="71">
        <f>(Budget!K6*0.85)-(Budget!K35*0.95)-Budget!K40</f>
        <v>10460.924522766103</v>
      </c>
      <c r="F20" s="72">
        <f>(Budget!K6*0.9)-(Budget!K35*0.95)-Budget!K40</f>
        <v>11444.924522766103</v>
      </c>
      <c r="G20" s="72">
        <f>(Budget!K6*0.95)-(Budget!K35*0.95)-Budget!K40</f>
        <v>12428.924522766103</v>
      </c>
      <c r="H20" s="27">
        <f>Budget!K6-(Budget!K35*0.95)-Budget!K40</f>
        <v>13412.924522766103</v>
      </c>
      <c r="I20" s="27">
        <f>(Budget!K6*1.05)-(Budget!K35*0.95)-Budget!K40</f>
        <v>14396.924522766103</v>
      </c>
      <c r="J20" s="27">
        <f>(Budget!K6*1.1)-(Budget!K35*0.95)-Budget!K40</f>
        <v>15380.924522766103</v>
      </c>
      <c r="K20" s="28">
        <f>(Budget!K6*1.15)-(Budget!K35*0.95)-Budget!K40</f>
        <v>16364.924522766103</v>
      </c>
      <c r="L20" s="4"/>
    </row>
    <row r="21" spans="1:12" ht="16.5" customHeight="1" thickBot="1" x14ac:dyDescent="0.35">
      <c r="A21" s="4"/>
      <c r="B21" s="145"/>
      <c r="C21" s="49"/>
      <c r="D21" s="50" t="s">
        <v>26</v>
      </c>
      <c r="E21" s="71">
        <f>(Budget!K6*0.85)-Budget!K35-Budget!K40</f>
        <v>10199.555287122213</v>
      </c>
      <c r="F21" s="72">
        <f>(Budget!K6*0.9)-(Budget!K35)-Budget!K40</f>
        <v>11183.555287122213</v>
      </c>
      <c r="G21" s="72">
        <f>(Budget!K6*0.95)-(Budget!K35)-Budget!K40</f>
        <v>12167.555287122213</v>
      </c>
      <c r="H21" s="29">
        <f>Budget!K6-(Budget!K35)-Budget!K40</f>
        <v>13151.555287122213</v>
      </c>
      <c r="I21" s="27">
        <f>(Budget!K6*1.05)-(Budget!K35)-Budget!K40</f>
        <v>14135.555287122213</v>
      </c>
      <c r="J21" s="27">
        <f>(Budget!K6*1.1)-(Budget!K35)-Budget!K40</f>
        <v>15119.555287122215</v>
      </c>
      <c r="K21" s="28">
        <f>(Budget!K6*1.15)-(Budget!K35)-Budget!K40</f>
        <v>16103.555287122215</v>
      </c>
      <c r="L21" s="4"/>
    </row>
    <row r="22" spans="1:12" ht="16.5" customHeight="1" x14ac:dyDescent="0.3">
      <c r="A22" s="4"/>
      <c r="B22" s="145"/>
      <c r="C22" s="49"/>
      <c r="D22" s="50" t="s">
        <v>25</v>
      </c>
      <c r="E22" s="71">
        <f>(Budget!K6*0.85)-(Budget!K35*1.05)-Budget!K40</f>
        <v>9938.1860514783239</v>
      </c>
      <c r="F22" s="72">
        <f>(Budget!K6*0.9)-(Budget!K35*1.05)-Budget!K40</f>
        <v>10922.186051478324</v>
      </c>
      <c r="G22" s="72">
        <f>(Budget!K6*0.95)-(Budget!K35*1.05)-Budget!K40</f>
        <v>11906.186051478324</v>
      </c>
      <c r="H22" s="27">
        <f>Budget!K6-(Budget!K35*1.05)-Budget!K40</f>
        <v>12890.186051478324</v>
      </c>
      <c r="I22" s="27">
        <f>(Budget!K6*1.05)-(Budget!K35*1.05)-Budget!K40</f>
        <v>13874.186051478324</v>
      </c>
      <c r="J22" s="27">
        <f>(Budget!K6*1.1)-(Budget!K35*1.05)-Budget!K40</f>
        <v>14858.186051478324</v>
      </c>
      <c r="K22" s="28">
        <f>(Budget!K6*1.15)-(Budget!K35*1.05)-Budget!K40</f>
        <v>15842.186051478324</v>
      </c>
      <c r="L22" s="4"/>
    </row>
    <row r="23" spans="1:12" ht="16.5" customHeight="1" x14ac:dyDescent="0.3">
      <c r="A23" s="4"/>
      <c r="B23" s="145"/>
      <c r="C23" s="49"/>
      <c r="D23" s="50" t="s">
        <v>24</v>
      </c>
      <c r="E23" s="71">
        <f>(Budget!K6*0.85)-(Budget!K35*1.1)-Budget!K40</f>
        <v>9676.8168158344342</v>
      </c>
      <c r="F23" s="72">
        <f>(Budget!K6*0.9)-(Budget!K35*1.1)-Budget!K40</f>
        <v>10660.816815834434</v>
      </c>
      <c r="G23" s="72">
        <f>(Budget!K6*0.95)-(Budget!K35*1.1)-Budget!K40</f>
        <v>11644.816815834434</v>
      </c>
      <c r="H23" s="27">
        <f>Budget!K6-(Budget!K35*1.1)-Budget!K40</f>
        <v>12628.816815834434</v>
      </c>
      <c r="I23" s="27">
        <f>(Budget!K6*1.05)-(Budget!K35*1.1)-Budget!K40</f>
        <v>13612.816815834434</v>
      </c>
      <c r="J23" s="27">
        <f>(Budget!K6*1.1)-(Budget!K35*1.1)-Budget!K40</f>
        <v>14596.816815834434</v>
      </c>
      <c r="K23" s="28">
        <f>(Budget!K6*1.15)-(Budget!K35*1.1)-Budget!K40</f>
        <v>15580.816815834432</v>
      </c>
      <c r="L23" s="4"/>
    </row>
    <row r="24" spans="1:12" ht="16.5" customHeight="1" x14ac:dyDescent="0.3">
      <c r="A24" s="4"/>
      <c r="B24" s="146"/>
      <c r="C24" s="51"/>
      <c r="D24" s="52" t="s">
        <v>23</v>
      </c>
      <c r="E24" s="73">
        <f>(Budget!K6*0.85)-(Budget!K35*1.15)-Budget!K40</f>
        <v>9415.4475801905446</v>
      </c>
      <c r="F24" s="74">
        <f>(Budget!K6*0.9)-(Budget!K35*1.15)-Budget!K40</f>
        <v>10399.447580190545</v>
      </c>
      <c r="G24" s="74">
        <f>(Budget!K6*0.95)-(Budget!K35*1.15)-Budget!K40</f>
        <v>11383.447580190545</v>
      </c>
      <c r="H24" s="30">
        <f>Budget!K6-(Budget!K35*1.15)-Budget!K40</f>
        <v>12367.447580190545</v>
      </c>
      <c r="I24" s="30">
        <f>(Budget!K6*1.05)-(Budget!K35*1.15)-Budget!K40</f>
        <v>13351.447580190545</v>
      </c>
      <c r="J24" s="30">
        <f>(Budget!K6*1.1)-(Budget!K35*1.15)-Budget!K40</f>
        <v>14335.447580190545</v>
      </c>
      <c r="K24" s="31">
        <f>(Budget!K6*1.15)-(Budget!K35*1.15)-Budget!K40</f>
        <v>15319.447580190545</v>
      </c>
      <c r="L24" s="4"/>
    </row>
    <row r="25" spans="1:12" ht="8.1" customHeight="1" x14ac:dyDescent="0.3">
      <c r="A25" s="4"/>
      <c r="B25" s="6"/>
      <c r="C25" s="6"/>
      <c r="D25" s="6"/>
      <c r="E25" s="6"/>
      <c r="F25" s="6"/>
      <c r="G25" s="6"/>
      <c r="H25" s="6"/>
      <c r="I25" s="6"/>
      <c r="J25" s="6"/>
      <c r="K25" s="6"/>
      <c r="L25" s="4"/>
    </row>
    <row r="26" spans="1:12" ht="15.6" x14ac:dyDescent="0.3">
      <c r="A26" s="4"/>
      <c r="B26" s="137" t="s">
        <v>89</v>
      </c>
      <c r="C26" s="137"/>
      <c r="D26" s="137"/>
      <c r="E26" s="137"/>
      <c r="F26" s="137"/>
      <c r="G26" s="137"/>
      <c r="H26" s="137"/>
      <c r="I26" s="137"/>
      <c r="J26" s="137"/>
      <c r="K26" s="137"/>
      <c r="L26" s="4"/>
    </row>
    <row r="27" spans="1:12" ht="15.6" x14ac:dyDescent="0.3">
      <c r="A27" s="4"/>
      <c r="B27" s="139" t="s">
        <v>35</v>
      </c>
      <c r="C27" s="139"/>
      <c r="D27" s="139"/>
      <c r="E27" s="139"/>
      <c r="F27" s="139"/>
      <c r="G27" s="139"/>
      <c r="H27" s="139"/>
      <c r="I27" s="139"/>
      <c r="J27" s="139"/>
      <c r="K27" s="139"/>
      <c r="L27" s="4"/>
    </row>
    <row r="28" spans="1:12" ht="65.55" customHeight="1" x14ac:dyDescent="0.3">
      <c r="A28" s="4"/>
      <c r="B28" s="139" t="s">
        <v>90</v>
      </c>
      <c r="C28" s="139"/>
      <c r="D28" s="139"/>
      <c r="E28" s="139"/>
      <c r="F28" s="139"/>
      <c r="G28" s="139"/>
      <c r="H28" s="139"/>
      <c r="I28" s="139"/>
      <c r="J28" s="139"/>
      <c r="K28" s="139"/>
      <c r="L28" s="4"/>
    </row>
    <row r="29" spans="1:12" ht="33.6" customHeight="1" x14ac:dyDescent="0.3">
      <c r="B29" s="139" t="s">
        <v>88</v>
      </c>
      <c r="C29" s="139"/>
      <c r="D29" s="139"/>
      <c r="E29" s="139"/>
      <c r="F29" s="139"/>
      <c r="G29" s="139"/>
      <c r="H29" s="139"/>
      <c r="I29" s="139"/>
      <c r="J29" s="139"/>
      <c r="K29" s="139"/>
      <c r="L29" s="4"/>
    </row>
    <row r="30" spans="1:12" x14ac:dyDescent="0.3">
      <c r="A30" s="4"/>
      <c r="B30" s="139"/>
      <c r="C30" s="139"/>
      <c r="D30" s="139"/>
      <c r="E30" s="139"/>
      <c r="F30" s="139"/>
      <c r="G30" s="139"/>
      <c r="H30" s="139"/>
      <c r="I30" s="139"/>
      <c r="J30" s="139"/>
      <c r="K30" s="139"/>
      <c r="L30" s="4"/>
    </row>
    <row r="31" spans="1:12" x14ac:dyDescent="0.3">
      <c r="A31" s="4"/>
      <c r="B31" s="139"/>
      <c r="C31" s="139"/>
      <c r="D31" s="139"/>
      <c r="E31" s="139"/>
      <c r="F31" s="139"/>
      <c r="G31" s="139"/>
      <c r="H31" s="139"/>
      <c r="I31" s="139"/>
      <c r="J31" s="139"/>
      <c r="K31" s="139"/>
      <c r="L31" s="4"/>
    </row>
    <row r="32" spans="1:12" ht="32.549999999999997" customHeight="1" x14ac:dyDescent="0.3">
      <c r="A32" s="4"/>
      <c r="B32" s="139" t="s">
        <v>87</v>
      </c>
      <c r="C32" s="139"/>
      <c r="D32" s="139"/>
      <c r="E32" s="139"/>
      <c r="F32" s="139"/>
      <c r="G32" s="139"/>
      <c r="H32" s="139"/>
      <c r="I32" s="139"/>
      <c r="J32" s="139"/>
      <c r="K32" s="139"/>
      <c r="L32" s="4"/>
    </row>
    <row r="33" spans="1:12" ht="10.050000000000001" customHeight="1" x14ac:dyDescent="0.3">
      <c r="A33" s="4"/>
      <c r="B33" s="53"/>
      <c r="C33" s="53"/>
      <c r="D33" s="53"/>
      <c r="E33" s="53"/>
      <c r="F33" s="53"/>
      <c r="G33" s="53"/>
      <c r="H33" s="53"/>
      <c r="I33" s="53"/>
      <c r="J33" s="53"/>
      <c r="K33" s="53"/>
      <c r="L33" s="4"/>
    </row>
    <row r="34" spans="1:12" ht="15.6" x14ac:dyDescent="0.3">
      <c r="A34" s="4"/>
      <c r="B34" s="54" t="s">
        <v>15</v>
      </c>
      <c r="C34" s="6"/>
      <c r="D34" s="6"/>
      <c r="E34" s="6"/>
      <c r="F34" s="4"/>
      <c r="G34" s="4"/>
      <c r="H34" s="4"/>
      <c r="I34" s="4"/>
      <c r="J34" s="4"/>
      <c r="K34" s="4"/>
      <c r="L34" s="4"/>
    </row>
    <row r="35" spans="1:12" ht="15.6" x14ac:dyDescent="0.3">
      <c r="A35" s="4"/>
      <c r="B35" s="6" t="s">
        <v>34</v>
      </c>
      <c r="C35" s="32"/>
      <c r="D35" s="32"/>
      <c r="E35" s="13">
        <v>0.06</v>
      </c>
      <c r="F35" s="6"/>
      <c r="G35" s="54"/>
      <c r="H35" s="33"/>
      <c r="I35" s="33"/>
      <c r="J35" s="33"/>
      <c r="K35" s="55"/>
      <c r="L35" s="4"/>
    </row>
    <row r="36" spans="1:12" ht="15.6" x14ac:dyDescent="0.3">
      <c r="A36" s="4"/>
      <c r="B36" s="6" t="s">
        <v>86</v>
      </c>
      <c r="C36" s="32"/>
      <c r="D36" s="32"/>
      <c r="E36" s="56">
        <f>(Budget!H43+Budget!K43/(1+E35))</f>
        <v>4642.2068418605795</v>
      </c>
      <c r="F36" s="6"/>
      <c r="G36" s="54"/>
      <c r="H36" s="33"/>
      <c r="I36" s="33"/>
      <c r="J36" s="33"/>
      <c r="K36" s="55"/>
      <c r="L36" s="4"/>
    </row>
    <row r="37" spans="1:12" ht="15.6" x14ac:dyDescent="0.3">
      <c r="A37" s="4"/>
      <c r="B37" s="6" t="s">
        <v>85</v>
      </c>
      <c r="C37" s="6"/>
      <c r="D37" s="6"/>
      <c r="E37" s="56">
        <f>(Budget!H43+Budget!K43/(1+E35)+Budget!N43/((1+E35)^2)+Budget!Q43/((1+E35)^3))</f>
        <v>15801.065646210611</v>
      </c>
      <c r="F37" s="6"/>
      <c r="G37" s="53"/>
      <c r="H37" s="33"/>
      <c r="I37" s="33"/>
      <c r="J37" s="33"/>
      <c r="K37" s="56"/>
      <c r="L37" s="4"/>
    </row>
    <row r="38" spans="1:12" ht="14.55" hidden="1" customHeight="1" x14ac:dyDescent="0.3">
      <c r="B38" s="4"/>
      <c r="C38" s="4"/>
      <c r="D38" s="4"/>
      <c r="E38" s="4"/>
      <c r="F38" s="4"/>
      <c r="G38" s="4"/>
      <c r="H38" s="4"/>
      <c r="I38" s="4"/>
      <c r="J38" s="4"/>
      <c r="K38" s="4"/>
    </row>
    <row r="40" spans="1:12" ht="32.1" hidden="1" customHeight="1" x14ac:dyDescent="0.3"/>
    <row r="41" spans="1:12" ht="15.6" hidden="1" x14ac:dyDescent="0.3">
      <c r="B41" s="138"/>
      <c r="C41" s="138"/>
      <c r="D41" s="138"/>
      <c r="E41" s="138"/>
      <c r="F41" s="138"/>
      <c r="G41" s="138"/>
      <c r="H41" s="138"/>
      <c r="I41" s="138"/>
      <c r="J41" s="138"/>
      <c r="K41" s="138"/>
    </row>
    <row r="42" spans="1:12" ht="15.6" hidden="1" x14ac:dyDescent="0.3">
      <c r="B42" s="138"/>
      <c r="C42" s="138"/>
      <c r="D42" s="138"/>
      <c r="E42" s="138"/>
      <c r="F42" s="138"/>
      <c r="G42" s="138"/>
      <c r="H42" s="138"/>
      <c r="I42" s="138"/>
      <c r="J42" s="138"/>
      <c r="K42" s="138"/>
    </row>
    <row r="43" spans="1:12" ht="15.6" hidden="1" x14ac:dyDescent="0.3">
      <c r="B43" s="8"/>
      <c r="C43" s="8"/>
      <c r="D43" s="8"/>
      <c r="E43" s="8"/>
      <c r="F43" s="8"/>
      <c r="G43" s="8"/>
      <c r="H43" s="8"/>
      <c r="I43" s="8"/>
      <c r="J43" s="8"/>
      <c r="K43" s="8"/>
    </row>
    <row r="44" spans="1:12" ht="15.6" hidden="1" x14ac:dyDescent="0.3">
      <c r="G44" s="7"/>
      <c r="H44" s="7"/>
      <c r="I44" s="7"/>
      <c r="J44" s="7"/>
      <c r="K44" s="7"/>
    </row>
    <row r="45" spans="1:12" ht="15.6" hidden="1" x14ac:dyDescent="0.3">
      <c r="G45" s="7"/>
      <c r="H45" s="7"/>
      <c r="I45" s="7"/>
      <c r="J45" s="7"/>
      <c r="K45" s="7"/>
    </row>
    <row r="46" spans="1:12" ht="15.6" hidden="1" x14ac:dyDescent="0.3">
      <c r="G46" s="7"/>
      <c r="H46" s="7"/>
      <c r="I46" s="7"/>
      <c r="J46" s="7"/>
      <c r="K46" s="7"/>
    </row>
    <row r="47" spans="1:12" ht="15.6" hidden="1" x14ac:dyDescent="0.3">
      <c r="G47" s="7"/>
      <c r="H47" s="7"/>
      <c r="I47" s="7"/>
      <c r="J47" s="7"/>
      <c r="K47" s="7"/>
    </row>
    <row r="48" spans="1:12" ht="15.6" hidden="1" x14ac:dyDescent="0.3">
      <c r="G48" s="7"/>
      <c r="H48" s="7"/>
      <c r="I48" s="7"/>
      <c r="J48" s="7"/>
      <c r="K48" s="7"/>
    </row>
  </sheetData>
  <sheetProtection sheet="1" objects="1" scenarios="1"/>
  <mergeCells count="15">
    <mergeCell ref="B1:K1"/>
    <mergeCell ref="B14:K14"/>
    <mergeCell ref="B41:K41"/>
    <mergeCell ref="B42:K42"/>
    <mergeCell ref="B29:K31"/>
    <mergeCell ref="B26:K26"/>
    <mergeCell ref="B6:B12"/>
    <mergeCell ref="E16:K16"/>
    <mergeCell ref="B18:B24"/>
    <mergeCell ref="B27:K27"/>
    <mergeCell ref="B2:K2"/>
    <mergeCell ref="B15:K15"/>
    <mergeCell ref="B28:K28"/>
    <mergeCell ref="B32:K32"/>
    <mergeCell ref="E3:K3"/>
  </mergeCells>
  <phoneticPr fontId="23" type="noConversion"/>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7" fitToHeight="0" orientation="portrait" r:id="rId1"/>
  <ignoredErrors>
    <ignoredError sqref="E3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5" ma:contentTypeDescription="Create a new document." ma:contentTypeScope="" ma:versionID="e7135de11d12d073d7a6ede4b04666d3">
  <xsd:schema xmlns:xsd="http://www.w3.org/2001/XMLSchema" xmlns:xs="http://www.w3.org/2001/XMLSchema" xmlns:p="http://schemas.microsoft.com/office/2006/metadata/properties" xmlns:ns2="afeaba0f-363c-487a-9eab-504fb0ae0068" xmlns:ns3="3cf54786-5cbe-4eed-9d82-be7bae57988e" targetNamespace="http://schemas.microsoft.com/office/2006/metadata/properties" ma:root="true" ma:fieldsID="153500833204045ca796943900e2c449" ns2:_="" ns3:_="">
    <xsd:import namespace="afeaba0f-363c-487a-9eab-504fb0ae0068"/>
    <xsd:import namespace="3cf54786-5cbe-4eed-9d82-be7bae5798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560828-92f4-433d-b2dd-f0bd0e5db71c}"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s>
</ds:datastoreItem>
</file>

<file path=customXml/itemProps2.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3.xml><?xml version="1.0" encoding="utf-8"?>
<ds:datastoreItem xmlns:ds="http://schemas.openxmlformats.org/officeDocument/2006/customXml" ds:itemID="{40C5FB2E-A975-4361-AC71-F1F257ACC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eaba0f-363c-487a-9eab-504fb0ae0068"/>
    <ds:schemaRef ds:uri="3cf54786-5cbe-4eed-9d82-be7bae579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Jackson, Lauren</cp:lastModifiedBy>
  <cp:revision/>
  <cp:lastPrinted>2025-08-19T17:35:25Z</cp:lastPrinted>
  <dcterms:created xsi:type="dcterms:W3CDTF">2020-07-30T17:48:44Z</dcterms:created>
  <dcterms:modified xsi:type="dcterms:W3CDTF">2025-11-05T17:51:05Z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y fmtid="{D5CDD505-2E9C-101B-9397-08002B2CF9AE}" pid="3" name="MediaServiceImageTags">
    <vt:lpwstr/>
  </property>
</Properties>
</file>