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.sharepoint.com/sites/MissouriAgFoodandForestryInnovationCenterTeam-Ogrp/Shared Documents/FSA Urban and Innovative Ag/Specialty Crop Budgets and Resources/FAPRI edits/High Tunnel Budgets/"/>
    </mc:Choice>
  </mc:AlternateContent>
  <xr:revisionPtr revIDLastSave="390" documentId="8_{4D38DB16-DD01-4038-9753-9E1A3B7833AD}" xr6:coauthVersionLast="47" xr6:coauthVersionMax="47" xr10:uidLastSave="{93FAE97E-D4C5-4986-BA54-4A20CE1AB26E}"/>
  <workbookProtection lockStructure="1"/>
  <bookViews>
    <workbookView xWindow="28680" yWindow="-120" windowWidth="29040" windowHeight="15720" xr2:uid="{50691399-9F51-4DAE-88E6-4D51F075FBD5}"/>
  </bookViews>
  <sheets>
    <sheet name="Introduction" sheetId="3" r:id="rId1"/>
    <sheet name="Budget" sheetId="1" r:id="rId2"/>
    <sheet name="Financial Sensitivity" sheetId="4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res">#REF!</definedName>
    <definedName name="Boom_Sprayer">#REF!</definedName>
    <definedName name="Boom_Sprayer_SP">#REF!</definedName>
    <definedName name="byyield">#REF!</definedName>
    <definedName name="Chisel_Plow">#REF!</definedName>
    <definedName name="Chisel_Plow_FD">#REF!</definedName>
    <definedName name="Comb_Disk_VRipper">#REF!</definedName>
    <definedName name="Comb_Fld_Cult_Incorp">#REF!</definedName>
    <definedName name="Combine_Size">#REF!</definedName>
    <definedName name="Cornhead_Size">#REF!</definedName>
    <definedName name="crop">#REF!</definedName>
    <definedName name="cropnum">#REF!</definedName>
    <definedName name="Crops">#REF!</definedName>
    <definedName name="Cultivator">#REF!</definedName>
    <definedName name="Cultivator_HR">#REF!</definedName>
    <definedName name="customhire2">#REF!,#REF!</definedName>
    <definedName name="CustomImps">[1]!Table4[Activity]</definedName>
    <definedName name="Disc_Mower">#REF!</definedName>
    <definedName name="Disk">#REF!</definedName>
    <definedName name="Disk_Mower">#REF!</definedName>
    <definedName name="drying">#REF!,#REF!</definedName>
    <definedName name="Field_Cultivator">#REF!</definedName>
    <definedName name="Grain_Auger">#REF!</definedName>
    <definedName name="Graincart">#REF!</definedName>
    <definedName name="Grainhead_Size">#REF!</definedName>
    <definedName name="Harrow">#REF!</definedName>
    <definedName name="hauling">#REF!,#REF!</definedName>
    <definedName name="herbicide2">#REF!,#REF!</definedName>
    <definedName name="Implementlist">#REF!</definedName>
    <definedName name="Implements">#REF!</definedName>
    <definedName name="Implements7">#REF!</definedName>
    <definedName name="ImplSel">#REF!</definedName>
    <definedName name="import">#REF!</definedName>
    <definedName name="income">#REF!</definedName>
    <definedName name="insecticide2">#REF!,#REF!</definedName>
    <definedName name="Irrigation">#REF!</definedName>
    <definedName name="irrigation2">#REF!</definedName>
    <definedName name="lease_arrangement">#REF!</definedName>
    <definedName name="leasenum">#REF!</definedName>
    <definedName name="mdbvalues">#REF!,#REF!,#REF!,#REF!</definedName>
    <definedName name="Moldboard_Plow">#REF!</definedName>
    <definedName name="NoTill_Drill">#REF!</definedName>
    <definedName name="NoTill_Planter">#REF!</definedName>
    <definedName name="Passes">#REF!,#REF!,#REF!,#REF!</definedName>
    <definedName name="Planter">#REF!</definedName>
    <definedName name="postharvest">#REF!,#REF!,#REF!</definedName>
    <definedName name="Power">#REF!</definedName>
    <definedName name="Power_Size">#REF!</definedName>
    <definedName name="Powerlist">#REF!</definedName>
    <definedName name="PowerSel">#REF!</definedName>
    <definedName name="Presswheel_Drill">#REF!</definedName>
    <definedName name="Primary_Units">#REF!</definedName>
    <definedName name="primyield">#REF!</definedName>
    <definedName name="_xlnm.Print_Area" localSheetId="1">Budget!$B$2:$H$43,Budget!$B$46:$I$66</definedName>
    <definedName name="_xlnm.Print_Area" localSheetId="2">'Financial Sensitivity'!$B$1:$K$24</definedName>
    <definedName name="PUAlloc">#REF!</definedName>
    <definedName name="PUMiles">#REF!</definedName>
    <definedName name="rental">#REF!,#REF!,#REF!,#REF!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ller_Bar_Rake">#REF!</definedName>
    <definedName name="Round_Baler_Tie">#REF!</definedName>
    <definedName name="seed2">#REF!,#REF!,#REF!</definedName>
    <definedName name="SemiAlloc">#REF!</definedName>
    <definedName name="SemiMiles">#REF!</definedName>
    <definedName name="Silage_Wrapper">#REF!</definedName>
    <definedName name="Soybeanhead_Size">#REF!</definedName>
    <definedName name="SplitRow_Planter">#REF!</definedName>
    <definedName name="storage">#REF!,#REF!</definedName>
    <definedName name="Swather_Mower_Conditioner">#REF!</definedName>
    <definedName name="Tandem_Disk">#REF!</definedName>
    <definedName name="TenWheelAlloc">#REF!</definedName>
    <definedName name="TenWheelMiles">#REF!</definedName>
    <definedName name="VRipper">#REF!</definedName>
    <definedName name="Wheel_Rake">#REF!</definedName>
    <definedName name="wrn.all." hidden="1">{"detail",#N/A,FALSE,"Trac_Table";"tractable",#N/A,FALSE,"Trac_Table";"sensitivity",#N/A,FALSE,"Trac_Table"}</definedName>
    <definedName name="ww">[1]!Table4[Activity]</definedName>
    <definedName name="yiel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G28" i="1"/>
  <c r="H28" i="1" s="1"/>
  <c r="G4" i="1" l="1"/>
  <c r="G35" i="1" s="1"/>
  <c r="G8" i="1" l="1"/>
  <c r="G18" i="1" l="1"/>
  <c r="H18" i="1" s="1"/>
  <c r="G17" i="1"/>
  <c r="H17" i="1" s="1"/>
  <c r="E65" i="1" l="1"/>
  <c r="E66" i="1" s="1"/>
  <c r="F65" i="1"/>
  <c r="F66" i="1" s="1"/>
  <c r="D65" i="1"/>
  <c r="D66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53" i="1"/>
  <c r="I53" i="1" s="1"/>
  <c r="G65" i="1" l="1"/>
  <c r="G66" i="1" s="1"/>
  <c r="I65" i="1"/>
  <c r="F36" i="1" l="1"/>
  <c r="I66" i="1"/>
  <c r="H31" i="1"/>
  <c r="G36" i="1" l="1"/>
  <c r="H36" i="1" s="1"/>
  <c r="G14" i="1"/>
  <c r="H14" i="1" s="1"/>
  <c r="G12" i="1"/>
  <c r="H12" i="1" s="1"/>
  <c r="G13" i="1"/>
  <c r="H13" i="1" s="1"/>
  <c r="G26" i="1"/>
  <c r="H26" i="1" s="1"/>
  <c r="G24" i="1"/>
  <c r="H24" i="1" s="1"/>
  <c r="G22" i="1"/>
  <c r="H22" i="1" s="1"/>
  <c r="G23" i="1"/>
  <c r="H23" i="1" s="1"/>
  <c r="G20" i="1"/>
  <c r="H20" i="1" s="1"/>
  <c r="G21" i="1"/>
  <c r="H21" i="1" s="1"/>
  <c r="G10" i="1"/>
  <c r="H10" i="1" s="1"/>
  <c r="H5" i="4" l="1"/>
  <c r="G16" i="1" l="1"/>
  <c r="H16" i="1" s="1"/>
  <c r="I5" i="4" l="1"/>
  <c r="D9" i="4"/>
  <c r="J5" i="4" l="1"/>
  <c r="K5" i="4"/>
  <c r="G5" i="4"/>
  <c r="F5" i="4"/>
  <c r="E5" i="4"/>
  <c r="D8" i="4"/>
  <c r="D10" i="4"/>
  <c r="D11" i="4"/>
  <c r="D7" i="4"/>
  <c r="D12" i="4"/>
  <c r="D6" i="4"/>
  <c r="G37" i="1" l="1"/>
  <c r="H37" i="1" s="1"/>
  <c r="G25" i="1" l="1"/>
  <c r="H25" i="1" s="1"/>
  <c r="G27" i="1"/>
  <c r="H27" i="1" s="1"/>
  <c r="G15" i="1"/>
  <c r="H15" i="1" s="1"/>
  <c r="G9" i="1"/>
  <c r="G5" i="1"/>
  <c r="H5" i="1" s="1"/>
  <c r="H9" i="1" l="1"/>
  <c r="G29" i="1"/>
  <c r="H29" i="1" s="1"/>
  <c r="G6" i="1"/>
  <c r="E30" i="1" l="1"/>
  <c r="G30" i="1" s="1"/>
  <c r="H30" i="1" s="1"/>
  <c r="G32" i="1" l="1"/>
  <c r="G33" i="1" l="1"/>
  <c r="H33" i="1" s="1"/>
  <c r="H32" i="1"/>
  <c r="I18" i="4" l="1"/>
  <c r="J24" i="4"/>
  <c r="F19" i="4"/>
  <c r="F22" i="4"/>
  <c r="E22" i="4"/>
  <c r="H22" i="4"/>
  <c r="F21" i="4"/>
  <c r="J19" i="4"/>
  <c r="G23" i="4"/>
  <c r="I19" i="4"/>
  <c r="G24" i="4"/>
  <c r="K24" i="4"/>
  <c r="I21" i="4"/>
  <c r="E21" i="4"/>
  <c r="K23" i="4"/>
  <c r="H23" i="4"/>
  <c r="I22" i="4"/>
  <c r="J18" i="4"/>
  <c r="F24" i="4"/>
  <c r="G21" i="4"/>
  <c r="E24" i="4"/>
  <c r="K20" i="4"/>
  <c r="I23" i="4"/>
  <c r="K18" i="4"/>
  <c r="E23" i="4"/>
  <c r="K19" i="4"/>
  <c r="F23" i="4"/>
  <c r="E18" i="4"/>
  <c r="G22" i="4"/>
  <c r="H21" i="4"/>
  <c r="I20" i="4"/>
  <c r="J21" i="4"/>
  <c r="J23" i="4"/>
  <c r="H19" i="4"/>
  <c r="G19" i="4"/>
  <c r="H24" i="4"/>
  <c r="J22" i="4"/>
  <c r="G20" i="4"/>
  <c r="H18" i="4"/>
  <c r="G39" i="1"/>
  <c r="E7" i="4" s="1"/>
  <c r="J20" i="4"/>
  <c r="H20" i="4"/>
  <c r="G41" i="1"/>
  <c r="H41" i="1" s="1"/>
  <c r="E20" i="4"/>
  <c r="K22" i="4"/>
  <c r="G18" i="4"/>
  <c r="I24" i="4"/>
  <c r="F20" i="4"/>
  <c r="K21" i="4"/>
  <c r="E19" i="4"/>
  <c r="F18" i="4"/>
  <c r="G8" i="4" l="1"/>
  <c r="I12" i="4"/>
  <c r="J10" i="4"/>
  <c r="J12" i="4"/>
  <c r="I11" i="4"/>
  <c r="I7" i="4"/>
  <c r="J8" i="4"/>
  <c r="F12" i="4"/>
  <c r="H10" i="4"/>
  <c r="F6" i="4"/>
  <c r="J6" i="4"/>
  <c r="E12" i="4"/>
  <c r="H9" i="4"/>
  <c r="E6" i="4"/>
  <c r="I10" i="4"/>
  <c r="F10" i="4"/>
  <c r="I9" i="4"/>
  <c r="J9" i="4"/>
  <c r="G42" i="1"/>
  <c r="H42" i="1" s="1"/>
  <c r="H6" i="4"/>
  <c r="H8" i="4"/>
  <c r="K11" i="4"/>
  <c r="G7" i="4"/>
  <c r="K9" i="4"/>
  <c r="K8" i="4"/>
  <c r="E11" i="4"/>
  <c r="E8" i="4"/>
  <c r="G12" i="4"/>
  <c r="J7" i="4"/>
  <c r="F11" i="4"/>
  <c r="G6" i="4"/>
  <c r="H7" i="4"/>
  <c r="G10" i="4"/>
  <c r="J11" i="4"/>
  <c r="E10" i="4"/>
  <c r="F7" i="4"/>
  <c r="E9" i="4"/>
  <c r="F8" i="4"/>
  <c r="K7" i="4"/>
  <c r="K12" i="4"/>
  <c r="G11" i="4"/>
  <c r="K6" i="4"/>
  <c r="I8" i="4"/>
  <c r="I6" i="4"/>
  <c r="K10" i="4"/>
  <c r="H12" i="4"/>
  <c r="H11" i="4"/>
  <c r="H39" i="1"/>
  <c r="F9" i="4"/>
  <c r="G9" i="4"/>
</calcChain>
</file>

<file path=xl/sharedStrings.xml><?xml version="1.0" encoding="utf-8"?>
<sst xmlns="http://schemas.openxmlformats.org/spreadsheetml/2006/main" count="147" uniqueCount="104">
  <si>
    <t>Updated: 1/2025</t>
  </si>
  <si>
    <t>This worksheet is for educational purposes only and the user assumes all risks associated with its use.</t>
  </si>
  <si>
    <t>Revenue</t>
  </si>
  <si>
    <t>Unit</t>
  </si>
  <si>
    <t xml:space="preserve"> Quantity</t>
  </si>
  <si>
    <t>each</t>
  </si>
  <si>
    <t>Total costs</t>
  </si>
  <si>
    <t>Return over total costs</t>
  </si>
  <si>
    <t>Income</t>
  </si>
  <si>
    <t>Total income</t>
  </si>
  <si>
    <t>Operating costs</t>
  </si>
  <si>
    <t>Total operating costs</t>
  </si>
  <si>
    <t>Ownership costs</t>
  </si>
  <si>
    <t>Total ownership costs</t>
  </si>
  <si>
    <t>Return over operating costs</t>
  </si>
  <si>
    <t>15% more</t>
  </si>
  <si>
    <t>10% more</t>
  </si>
  <si>
    <t>5% more</t>
  </si>
  <si>
    <t>Base</t>
  </si>
  <si>
    <t>5% less</t>
  </si>
  <si>
    <t>10% less</t>
  </si>
  <si>
    <t>15% less</t>
  </si>
  <si>
    <t>20% more</t>
  </si>
  <si>
    <t>30% more</t>
  </si>
  <si>
    <t>20% less</t>
  </si>
  <si>
    <t>30% less</t>
  </si>
  <si>
    <t>Operating Costs and Revenue Sensitivity Table</t>
  </si>
  <si>
    <t>% of sales</t>
  </si>
  <si>
    <t xml:space="preserve">For budget questions, contact: </t>
  </si>
  <si>
    <t>Ryan Milhollin, MU Extension</t>
  </si>
  <si>
    <t xml:space="preserve">For horticulture expertise, contact: </t>
  </si>
  <si>
    <t>MU Commercial Horticulture Team</t>
  </si>
  <si>
    <t>Price per unit</t>
  </si>
  <si>
    <t>Drip tape</t>
  </si>
  <si>
    <t>Labor</t>
  </si>
  <si>
    <t>hour</t>
  </si>
  <si>
    <t xml:space="preserve">Marketing </t>
  </si>
  <si>
    <t>Miscellaneous</t>
  </si>
  <si>
    <t>Developed by: Peter Zimmel, FAPRI</t>
  </si>
  <si>
    <t>Dollars per
 sq. ft.</t>
  </si>
  <si>
    <t>Soil test</t>
  </si>
  <si>
    <t>Lay beds</t>
  </si>
  <si>
    <t>Tilling</t>
  </si>
  <si>
    <t>Planting</t>
  </si>
  <si>
    <t>Weeding</t>
  </si>
  <si>
    <t>IPM scouting/application</t>
  </si>
  <si>
    <t xml:space="preserve">Fertilizer </t>
  </si>
  <si>
    <t>total</t>
  </si>
  <si>
    <t>Water soluble fertilizer</t>
  </si>
  <si>
    <t>Compost fertilizer</t>
  </si>
  <si>
    <t>Plastic mulch</t>
  </si>
  <si>
    <t>Boxes and other supplies</t>
  </si>
  <si>
    <t>feet</t>
  </si>
  <si>
    <t>High tunnel building use</t>
  </si>
  <si>
    <t>month</t>
  </si>
  <si>
    <t>Component</t>
  </si>
  <si>
    <t>Machinery</t>
  </si>
  <si>
    <t>Materials</t>
  </si>
  <si>
    <t>Site evaluation and soil preparation</t>
  </si>
  <si>
    <t>Trenching and laying water pipes</t>
  </si>
  <si>
    <t>Inserting poles and setting posts</t>
  </si>
  <si>
    <t>Assembling the frame</t>
  </si>
  <si>
    <t>Treating and setting baseboards</t>
  </si>
  <si>
    <t>End and sidewall installation</t>
  </si>
  <si>
    <t>Pulling plastic</t>
  </si>
  <si>
    <t>Channel lock installation</t>
  </si>
  <si>
    <t>Shutter vents</t>
  </si>
  <si>
    <t>Trellis purlin installation</t>
  </si>
  <si>
    <t>Electrical</t>
  </si>
  <si>
    <t>Miscellaneous hardware and tools</t>
  </si>
  <si>
    <t>Total cost</t>
  </si>
  <si>
    <t>Useful life</t>
  </si>
  <si>
    <t>10-year cost</t>
  </si>
  <si>
    <t>Seeds</t>
  </si>
  <si>
    <t>cubic yard</t>
  </si>
  <si>
    <t>thousand</t>
  </si>
  <si>
    <t>End of season cleanup</t>
  </si>
  <si>
    <t>Harvesting and washing</t>
  </si>
  <si>
    <t>Venting</t>
  </si>
  <si>
    <t>Row cover</t>
  </si>
  <si>
    <t>Hoops</t>
  </si>
  <si>
    <t>sq. ft.</t>
  </si>
  <si>
    <t>Cost per square foot</t>
  </si>
  <si>
    <t>percent</t>
  </si>
  <si>
    <t>Operating interest</t>
  </si>
  <si>
    <t>High tunnel utilization</t>
  </si>
  <si>
    <t>Value</t>
  </si>
  <si>
    <t>High tunnel size (total area)</t>
  </si>
  <si>
    <t>square feet</t>
  </si>
  <si>
    <t>High tunnel area used for this crop</t>
  </si>
  <si>
    <t>High tunnel construction cost</t>
  </si>
  <si>
    <t xml:space="preserve">Explore estimated annual returns over total costs under varying revenue and cost scenarios in full production. </t>
  </si>
  <si>
    <t xml:space="preserve">Spinach (High Tunnel) Enterprise Budget for Missouri </t>
  </si>
  <si>
    <t>Spinach (High Tunnel) Enterprise Budget</t>
  </si>
  <si>
    <t>Spinach</t>
  </si>
  <si>
    <t>pound</t>
  </si>
  <si>
    <t xml:space="preserve">Irrigation </t>
  </si>
  <si>
    <t>Lady bugs</t>
  </si>
  <si>
    <t>Spinach Price and Yield Sensitivity Table</t>
  </si>
  <si>
    <t>Price per pound</t>
  </si>
  <si>
    <t xml:space="preserve">Explore annual profitability expectations (per square foot area returns over total costs) under varying yield and price scenarios in full production and holding costs constant. </t>
  </si>
  <si>
    <t>This budget models high tunnel spinach production. Marketing is assumed to be fresh markets. Develop a customized budget by adjusting the assumptions in gray cells to match the management practices and expected yields and prices for your farm.</t>
  </si>
  <si>
    <t xml:space="preserve">Budget created by Peter Zimmel, Food and Agricultural Policy Institute (FAPRI). Prices were updated January 2025. Access online at </t>
  </si>
  <si>
    <t xml:space="preserve">muext.us/MissouriAgBudgets.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</si>
</sst>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%"/>
  </numFmts>
  <fonts count="29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Aptos"/>
      <family val="2"/>
      <scheme val="minor"/>
    </font>
    <font>
      <u/>
      <sz val="11"/>
      <color theme="1"/>
      <name val="Palatino Linotype"/>
      <family val="1"/>
    </font>
    <font>
      <b/>
      <sz val="12"/>
      <color theme="1"/>
      <name val="Aptos"/>
      <family val="2"/>
      <scheme val="minor"/>
    </font>
    <font>
      <b/>
      <sz val="12"/>
      <color rgb="FFFDB719"/>
      <name val="Aptos Black"/>
      <family val="2"/>
      <scheme val="major"/>
    </font>
    <font>
      <b/>
      <sz val="11"/>
      <name val="Aptos"/>
      <family val="2"/>
      <scheme val="minor"/>
    </font>
    <font>
      <u/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sz val="11"/>
      <color theme="1"/>
      <name val="Segoe UI"/>
      <family val="2"/>
    </font>
    <font>
      <b/>
      <sz val="14"/>
      <color rgb="FFF1B82D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rgb="FF3F3F3F"/>
      <name val="Aptos"/>
      <family val="2"/>
      <scheme val="minor"/>
    </font>
    <font>
      <sz val="12"/>
      <color theme="1"/>
      <name val="Palatino Linotype"/>
      <family val="1"/>
    </font>
    <font>
      <b/>
      <sz val="12"/>
      <name val="Aptos"/>
      <family val="2"/>
      <scheme val="minor"/>
    </font>
    <font>
      <i/>
      <sz val="12"/>
      <color theme="1"/>
      <name val="Aptos"/>
      <family val="2"/>
      <scheme val="minor"/>
    </font>
    <font>
      <sz val="12"/>
      <name val="Aptos"/>
      <family val="2"/>
      <scheme val="minor"/>
    </font>
    <font>
      <b/>
      <sz val="12"/>
      <color rgb="FFF1B82D"/>
      <name val="Aptos"/>
      <family val="2"/>
      <scheme val="minor"/>
    </font>
    <font>
      <sz val="16"/>
      <color rgb="FFFDB719"/>
      <name val="Aptos Black"/>
      <family val="2"/>
      <scheme val="major"/>
    </font>
    <font>
      <b/>
      <sz val="16"/>
      <color rgb="FFF1B82D"/>
      <name val="Aptos Black"/>
      <family val="2"/>
      <scheme val="major"/>
    </font>
    <font>
      <b/>
      <sz val="12"/>
      <color rgb="FFF1B82D"/>
      <name val="Aptos Black"/>
      <family val="2"/>
      <scheme val="major"/>
    </font>
    <font>
      <u/>
      <sz val="11"/>
      <color theme="10"/>
      <name val="Aptos"/>
      <family val="2"/>
      <scheme val="minor"/>
    </font>
    <font>
      <b/>
      <u/>
      <sz val="12"/>
      <color theme="10"/>
      <name val="Aptos"/>
      <family val="2"/>
      <scheme val="minor"/>
    </font>
    <font>
      <sz val="10"/>
      <name val="TimesNewRomanPS"/>
    </font>
    <font>
      <i/>
      <sz val="10"/>
      <color theme="1"/>
      <name val="Aptos"/>
      <family val="2"/>
      <scheme val="minor"/>
    </font>
    <font>
      <sz val="10"/>
      <name val="Aptos"/>
      <family val="2"/>
      <scheme val="minor"/>
    </font>
    <font>
      <u/>
      <sz val="10"/>
      <color theme="10"/>
      <name val="Apto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0" fillId="4" borderId="4" applyNumberFormat="0" applyAlignment="0" applyProtection="0"/>
    <xf numFmtId="0" fontId="1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/>
  </cellStyleXfs>
  <cellXfs count="147">
    <xf numFmtId="0" fontId="0" fillId="0" borderId="0" xfId="0"/>
    <xf numFmtId="0" fontId="19" fillId="3" borderId="17" xfId="0" applyFont="1" applyFill="1" applyBorder="1" applyAlignment="1">
      <alignment horizontal="center" textRotation="90"/>
    </xf>
    <xf numFmtId="0" fontId="17" fillId="3" borderId="19" xfId="0" applyFont="1" applyFill="1" applyBorder="1"/>
    <xf numFmtId="0" fontId="17" fillId="3" borderId="20" xfId="0" applyFont="1" applyFill="1" applyBorder="1"/>
    <xf numFmtId="0" fontId="19" fillId="3" borderId="17" xfId="0" applyFont="1" applyFill="1" applyBorder="1" applyAlignment="1">
      <alignment horizontal="center" vertical="center" textRotation="90"/>
    </xf>
    <xf numFmtId="164" fontId="13" fillId="2" borderId="0" xfId="4" applyNumberFormat="1" applyFont="1" applyFill="1" applyProtection="1">
      <protection locked="0"/>
    </xf>
    <xf numFmtId="165" fontId="13" fillId="2" borderId="0" xfId="0" applyNumberFormat="1" applyFont="1" applyFill="1" applyProtection="1">
      <protection locked="0"/>
    </xf>
    <xf numFmtId="9" fontId="13" fillId="2" borderId="0" xfId="1" applyFont="1" applyFill="1" applyProtection="1">
      <protection locked="0"/>
    </xf>
    <xf numFmtId="0" fontId="13" fillId="3" borderId="16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13" fillId="3" borderId="0" xfId="0" applyFont="1" applyFill="1"/>
    <xf numFmtId="0" fontId="19" fillId="3" borderId="12" xfId="0" applyFont="1" applyFill="1" applyBorder="1" applyAlignment="1">
      <alignment horizontal="center" textRotation="90"/>
    </xf>
    <xf numFmtId="0" fontId="13" fillId="3" borderId="18" xfId="0" applyFont="1" applyFill="1" applyBorder="1"/>
    <xf numFmtId="0" fontId="13" fillId="3" borderId="13" xfId="0" applyFont="1" applyFill="1" applyBorder="1"/>
    <xf numFmtId="0" fontId="19" fillId="3" borderId="15" xfId="0" applyFont="1" applyFill="1" applyBorder="1" applyAlignment="1">
      <alignment horizontal="center" textRotation="90"/>
    </xf>
    <xf numFmtId="0" fontId="19" fillId="3" borderId="2" xfId="0" applyFont="1" applyFill="1" applyBorder="1" applyAlignment="1">
      <alignment horizontal="center" textRotation="90"/>
    </xf>
    <xf numFmtId="0" fontId="13" fillId="3" borderId="27" xfId="0" applyFont="1" applyFill="1" applyBorder="1"/>
    <xf numFmtId="0" fontId="19" fillId="3" borderId="28" xfId="0" applyFont="1" applyFill="1" applyBorder="1" applyAlignment="1">
      <alignment horizontal="center" vertical="center" textRotation="9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164" fontId="9" fillId="2" borderId="0" xfId="0" applyNumberFormat="1" applyFont="1" applyFill="1" applyProtection="1">
      <protection locked="0"/>
    </xf>
    <xf numFmtId="164" fontId="9" fillId="2" borderId="0" xfId="1" applyNumberFormat="1" applyFont="1" applyFill="1" applyBorder="1" applyProtection="1">
      <protection locked="0"/>
    </xf>
    <xf numFmtId="164" fontId="9" fillId="2" borderId="0" xfId="0" applyNumberFormat="1" applyFont="1" applyFill="1" applyAlignment="1" applyProtection="1">
      <alignment horizontal="right"/>
      <protection locked="0"/>
    </xf>
    <xf numFmtId="0" fontId="27" fillId="2" borderId="0" xfId="6" applyFont="1" applyFill="1" applyAlignment="1" applyProtection="1">
      <alignment horizontal="left"/>
      <protection locked="0"/>
    </xf>
    <xf numFmtId="164" fontId="9" fillId="2" borderId="2" xfId="0" applyNumberFormat="1" applyFont="1" applyFill="1" applyBorder="1" applyProtection="1">
      <protection locked="0"/>
    </xf>
    <xf numFmtId="3" fontId="9" fillId="2" borderId="0" xfId="0" applyNumberFormat="1" applyFont="1" applyFill="1" applyProtection="1">
      <protection locked="0"/>
    </xf>
    <xf numFmtId="3" fontId="9" fillId="2" borderId="2" xfId="0" applyNumberFormat="1" applyFont="1" applyFill="1" applyBorder="1" applyProtection="1">
      <protection locked="0"/>
    </xf>
    <xf numFmtId="164" fontId="13" fillId="2" borderId="0" xfId="0" applyNumberFormat="1" applyFont="1" applyFill="1" applyProtection="1">
      <protection locked="0"/>
    </xf>
    <xf numFmtId="10" fontId="13" fillId="2" borderId="0" xfId="0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3" fontId="13" fillId="0" borderId="11" xfId="0" applyNumberFormat="1" applyFont="1" applyBorder="1" applyProtection="1">
      <protection locked="0"/>
    </xf>
    <xf numFmtId="7" fontId="13" fillId="0" borderId="12" xfId="4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3" fillId="0" borderId="0" xfId="0" applyFont="1" applyAlignment="1">
      <alignment wrapText="1"/>
    </xf>
    <xf numFmtId="2" fontId="13" fillId="0" borderId="17" xfId="0" applyNumberFormat="1" applyFont="1" applyBorder="1" applyAlignment="1">
      <alignment horizontal="center"/>
    </xf>
    <xf numFmtId="6" fontId="18" fillId="0" borderId="16" xfId="4" applyNumberFormat="1" applyFont="1" applyFill="1" applyBorder="1"/>
    <xf numFmtId="6" fontId="18" fillId="0" borderId="11" xfId="4" applyNumberFormat="1" applyFont="1" applyFill="1" applyBorder="1"/>
    <xf numFmtId="6" fontId="18" fillId="0" borderId="18" xfId="4" applyNumberFormat="1" applyFont="1" applyFill="1" applyBorder="1"/>
    <xf numFmtId="6" fontId="18" fillId="0" borderId="12" xfId="4" applyNumberFormat="1" applyFont="1" applyFill="1" applyBorder="1"/>
    <xf numFmtId="6" fontId="18" fillId="0" borderId="0" xfId="4" applyNumberFormat="1" applyFont="1" applyFill="1" applyBorder="1"/>
    <xf numFmtId="6" fontId="18" fillId="0" borderId="13" xfId="4" applyNumberFormat="1" applyFont="1" applyFill="1" applyBorder="1"/>
    <xf numFmtId="6" fontId="18" fillId="0" borderId="21" xfId="4" applyNumberFormat="1" applyFont="1" applyFill="1" applyBorder="1"/>
    <xf numFmtId="2" fontId="13" fillId="0" borderId="28" xfId="0" applyNumberFormat="1" applyFont="1" applyBorder="1" applyAlignment="1">
      <alignment horizontal="center"/>
    </xf>
    <xf numFmtId="6" fontId="18" fillId="0" borderId="15" xfId="4" applyNumberFormat="1" applyFont="1" applyFill="1" applyBorder="1"/>
    <xf numFmtId="6" fontId="18" fillId="0" borderId="2" xfId="4" applyNumberFormat="1" applyFont="1" applyFill="1" applyBorder="1"/>
    <xf numFmtId="6" fontId="18" fillId="0" borderId="14" xfId="4" applyNumberFormat="1" applyFont="1" applyFill="1" applyBorder="1"/>
    <xf numFmtId="3" fontId="13" fillId="0" borderId="22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7" fontId="13" fillId="0" borderId="12" xfId="4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7" fontId="13" fillId="0" borderId="15" xfId="4" applyNumberFormat="1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13" xfId="0" applyFont="1" applyBorder="1" applyAlignment="1">
      <alignment horizontal="right"/>
    </xf>
    <xf numFmtId="3" fontId="13" fillId="0" borderId="11" xfId="0" applyNumberFormat="1" applyFont="1" applyBorder="1"/>
    <xf numFmtId="3" fontId="13" fillId="0" borderId="18" xfId="0" applyNumberFormat="1" applyFont="1" applyBorder="1"/>
    <xf numFmtId="0" fontId="2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1" applyNumberFormat="1" applyFont="1" applyFill="1" applyBorder="1" applyProtection="1"/>
    <xf numFmtId="0" fontId="9" fillId="0" borderId="0" xfId="0" applyFont="1"/>
    <xf numFmtId="0" fontId="0" fillId="0" borderId="2" xfId="0" applyBorder="1"/>
    <xf numFmtId="0" fontId="9" fillId="0" borderId="2" xfId="0" applyFont="1" applyBorder="1" applyAlignment="1">
      <alignment horizontal="right"/>
    </xf>
    <xf numFmtId="164" fontId="9" fillId="0" borderId="2" xfId="0" applyNumberFormat="1" applyFont="1" applyBorder="1"/>
    <xf numFmtId="0" fontId="26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9" fillId="0" borderId="2" xfId="1" applyNumberFormat="1" applyFont="1" applyFill="1" applyBorder="1" applyProtection="1"/>
    <xf numFmtId="0" fontId="8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164" fontId="13" fillId="0" borderId="0" xfId="0" applyNumberFormat="1" applyFont="1"/>
    <xf numFmtId="0" fontId="2" fillId="0" borderId="2" xfId="0" applyFont="1" applyBorder="1"/>
    <xf numFmtId="164" fontId="13" fillId="0" borderId="2" xfId="0" applyNumberFormat="1" applyFont="1" applyBorder="1"/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 wrapText="1"/>
    </xf>
    <xf numFmtId="0" fontId="13" fillId="0" borderId="11" xfId="0" applyFont="1" applyBorder="1"/>
    <xf numFmtId="164" fontId="13" fillId="0" borderId="11" xfId="0" applyNumberFormat="1" applyFont="1" applyBorder="1"/>
    <xf numFmtId="0" fontId="5" fillId="0" borderId="3" xfId="0" applyFont="1" applyBorder="1" applyAlignment="1">
      <alignment horizontal="left"/>
    </xf>
    <xf numFmtId="0" fontId="2" fillId="0" borderId="3" xfId="0" applyFont="1" applyBorder="1"/>
    <xf numFmtId="0" fontId="13" fillId="0" borderId="3" xfId="0" applyFont="1" applyBorder="1"/>
    <xf numFmtId="164" fontId="13" fillId="0" borderId="3" xfId="0" applyNumberFormat="1" applyFont="1" applyBorder="1"/>
    <xf numFmtId="0" fontId="0" fillId="0" borderId="1" xfId="0" applyBorder="1"/>
    <xf numFmtId="164" fontId="13" fillId="0" borderId="1" xfId="0" applyNumberFormat="1" applyFont="1" applyBorder="1"/>
    <xf numFmtId="0" fontId="15" fillId="0" borderId="0" xfId="0" applyFont="1"/>
    <xf numFmtId="3" fontId="13" fillId="0" borderId="0" xfId="0" applyNumberFormat="1" applyFont="1"/>
    <xf numFmtId="164" fontId="2" fillId="0" borderId="0" xfId="0" applyNumberFormat="1" applyFont="1"/>
    <xf numFmtId="0" fontId="16" fillId="0" borderId="1" xfId="0" applyFont="1" applyBorder="1"/>
    <xf numFmtId="0" fontId="7" fillId="0" borderId="1" xfId="0" applyFont="1" applyBorder="1" applyAlignment="1">
      <alignment horizontal="left" wrapText="1"/>
    </xf>
    <xf numFmtId="2" fontId="16" fillId="0" borderId="1" xfId="6" applyNumberFormat="1" applyFont="1" applyBorder="1" applyAlignment="1">
      <alignment horizontal="right"/>
    </xf>
    <xf numFmtId="2" fontId="16" fillId="0" borderId="1" xfId="6" applyNumberFormat="1" applyFont="1" applyBorder="1" applyAlignment="1">
      <alignment horizontal="right" wrapText="1"/>
    </xf>
    <xf numFmtId="9" fontId="9" fillId="0" borderId="0" xfId="0" applyNumberFormat="1" applyFont="1" applyAlignment="1">
      <alignment horizontal="left"/>
    </xf>
    <xf numFmtId="165" fontId="13" fillId="0" borderId="0" xfId="0" applyNumberFormat="1" applyFont="1"/>
    <xf numFmtId="0" fontId="9" fillId="0" borderId="0" xfId="0" applyFont="1" applyProtection="1">
      <protection locked="0"/>
    </xf>
    <xf numFmtId="164" fontId="13" fillId="0" borderId="0" xfId="4" applyNumberFormat="1" applyFont="1" applyFill="1" applyProtection="1"/>
    <xf numFmtId="0" fontId="16" fillId="0" borderId="1" xfId="6" applyFont="1" applyBorder="1" applyAlignment="1">
      <alignment horizontal="left"/>
    </xf>
    <xf numFmtId="0" fontId="6" fillId="0" borderId="0" xfId="0" applyFont="1"/>
    <xf numFmtId="0" fontId="18" fillId="0" borderId="0" xfId="0" applyFont="1"/>
    <xf numFmtId="0" fontId="4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24" fillId="0" borderId="0" xfId="5" applyFont="1" applyFill="1" applyAlignment="1">
      <alignment horizontal="left" vertical="top" wrapText="1"/>
    </xf>
    <xf numFmtId="0" fontId="3" fillId="0" borderId="0" xfId="0" applyFont="1" applyAlignment="1">
      <alignment horizontal="left" indent="4"/>
    </xf>
    <xf numFmtId="0" fontId="12" fillId="3" borderId="5" xfId="0" applyFont="1" applyFill="1" applyBorder="1"/>
    <xf numFmtId="0" fontId="12" fillId="3" borderId="6" xfId="0" applyFont="1" applyFill="1" applyBorder="1"/>
    <xf numFmtId="0" fontId="21" fillId="3" borderId="5" xfId="3" applyFont="1" applyFill="1" applyBorder="1" applyAlignment="1">
      <alignment horizontal="center"/>
    </xf>
    <xf numFmtId="0" fontId="21" fillId="3" borderId="6" xfId="3" applyFont="1" applyFill="1" applyBorder="1" applyAlignment="1">
      <alignment horizontal="center"/>
    </xf>
    <xf numFmtId="0" fontId="21" fillId="3" borderId="7" xfId="3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0" xfId="0"/>
    <xf numFmtId="0" fontId="14" fillId="4" borderId="8" xfId="2" applyFont="1" applyBorder="1" applyAlignment="1">
      <alignment horizontal="center" wrapText="1"/>
    </xf>
    <xf numFmtId="0" fontId="14" fillId="4" borderId="9" xfId="2" applyFont="1" applyBorder="1" applyAlignment="1">
      <alignment horizontal="center" wrapText="1"/>
    </xf>
    <xf numFmtId="0" fontId="14" fillId="4" borderId="10" xfId="2" applyFont="1" applyBorder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9" fillId="2" borderId="0" xfId="0" applyFont="1" applyFill="1" applyAlignment="1" applyProtection="1">
      <alignment horizontal="left"/>
      <protection locked="0"/>
    </xf>
    <xf numFmtId="0" fontId="27" fillId="2" borderId="0" xfId="6" applyFont="1" applyFill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20" fillId="3" borderId="12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9" fillId="0" borderId="0" xfId="0" applyFont="1" applyAlignment="1">
      <alignment horizontal="left" wrapText="1"/>
    </xf>
    <xf numFmtId="0" fontId="18" fillId="0" borderId="2" xfId="0" applyFont="1" applyBorder="1" applyAlignment="1">
      <alignment horizontal="center" wrapText="1"/>
    </xf>
    <xf numFmtId="0" fontId="9" fillId="2" borderId="11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2" fillId="3" borderId="25" xfId="0" applyFont="1" applyFill="1" applyBorder="1" applyAlignment="1">
      <alignment horizontal="center" vertical="center" textRotation="90"/>
    </xf>
    <xf numFmtId="0" fontId="22" fillId="3" borderId="26" xfId="0" applyFont="1" applyFill="1" applyBorder="1" applyAlignment="1">
      <alignment horizontal="center" vertical="center" textRotation="90"/>
    </xf>
    <xf numFmtId="0" fontId="22" fillId="3" borderId="2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textRotation="90"/>
    </xf>
    <xf numFmtId="0" fontId="22" fillId="3" borderId="15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wrapText="1"/>
    </xf>
    <xf numFmtId="0" fontId="28" fillId="0" borderId="0" xfId="5" applyFont="1" applyFill="1" applyAlignment="1">
      <alignment horizontal="left"/>
    </xf>
  </cellXfs>
  <cellStyles count="7">
    <cellStyle name="Currency" xfId="4" builtinId="4"/>
    <cellStyle name="Hyperlink" xfId="5" builtinId="8"/>
    <cellStyle name="Normal" xfId="0" builtinId="0"/>
    <cellStyle name="Normal 2" xfId="6" xr:uid="{138806ED-816B-4D53-BED9-1168E54DE5D2}"/>
    <cellStyle name="Normal 2 2" xfId="3" xr:uid="{B82EEC54-C959-4263-882E-61D78481713D}"/>
    <cellStyle name="Output" xfId="2" builtinId="21"/>
    <cellStyle name="Percent" xfId="1" builtinId="5"/>
  </cellStyles>
  <dxfs count="5">
    <dxf>
      <font>
        <color rgb="FFFF0000"/>
      </font>
    </dxf>
    <dxf>
      <font>
        <color rgb="FFFF000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DB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9525</xdr:colOff>
      <xdr:row>9</xdr:row>
      <xdr:rowOff>15556</xdr:rowOff>
    </xdr:to>
    <xdr:pic>
      <xdr:nvPicPr>
        <xdr:cNvPr id="3" name="Picture 2" descr="University of Missouri - Extension and Food &amp; Agricultural Policy Research Institute">
          <a:extLst>
            <a:ext uri="{FF2B5EF4-FFF2-40B4-BE49-F238E27FC236}">
              <a16:creationId xmlns:a16="http://schemas.microsoft.com/office/drawing/2014/main" id="{88592480-FE63-4673-94EE-E8C17264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885825"/>
          <a:ext cx="2800350" cy="9490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-my.sharepoint.com/personal/milhollinr_umsystem_edu/Documents/Crops/Crop%20Budgets/2025/Forage/ForageBudgets%202025.xlsx" TargetMode="External"/><Relationship Id="rId1" Type="http://schemas.openxmlformats.org/officeDocument/2006/relationships/externalLinkPath" Target="/personal/milhollinr_umsystem_edu/Documents/Crops/Crop%20Budgets/2025/Forage/ForageBudg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s"/>
      <sheetName val="Alfalfa Establishment"/>
      <sheetName val="Alfalfa Small Squares"/>
      <sheetName val="Alfalfa Baleage"/>
      <sheetName val="Corn Silage"/>
      <sheetName val="Pasture Establishment"/>
      <sheetName val="Mixed Hay"/>
      <sheetName val="Fescue Seed+Forage"/>
      <sheetName val="Equipment"/>
      <sheetName val="Machinery Input Tables"/>
      <sheetName val="Custom Hire"/>
      <sheetName val="ForageBudget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missouri.edu/people/ryan-milhollin" TargetMode="External"/><Relationship Id="rId1" Type="http://schemas.openxmlformats.org/officeDocument/2006/relationships/hyperlink" Target="https://extension.missouri.edu/programs/commercial-horticulture/find-a-horticulturist-near-yo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uext.us/MissouriAgBudge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F4B3-BEC6-433D-A8AA-F26AB248039B}">
  <sheetPr codeName="Sheet1">
    <pageSetUpPr fitToPage="1"/>
  </sheetPr>
  <dimension ref="A1:M27"/>
  <sheetViews>
    <sheetView showGridLines="0" tabSelected="1" workbookViewId="0"/>
  </sheetViews>
  <sheetFormatPr defaultColWidth="0" defaultRowHeight="16.5" customHeight="1" zeroHeight="1"/>
  <cols>
    <col min="1" max="1" width="2.875" style="108" customWidth="1"/>
    <col min="2" max="2" width="35.75" style="108" customWidth="1"/>
    <col min="3" max="3" width="34.625" style="108" customWidth="1"/>
    <col min="4" max="4" width="36.625" style="108" customWidth="1"/>
    <col min="5" max="5" width="3" style="108" customWidth="1"/>
    <col min="6" max="8" width="9" style="108" hidden="1" customWidth="1"/>
    <col min="9" max="13" width="0" style="108" hidden="1" customWidth="1"/>
    <col min="14" max="16384" width="9" style="108" hidden="1"/>
  </cols>
  <sheetData>
    <row r="1" spans="2:4" ht="17.25" thickBot="1">
      <c r="B1"/>
      <c r="C1"/>
      <c r="D1"/>
    </row>
    <row r="2" spans="2:4" ht="19.5" customHeight="1" thickBot="1">
      <c r="B2" s="116" t="s">
        <v>92</v>
      </c>
      <c r="C2" s="117"/>
      <c r="D2" s="118"/>
    </row>
    <row r="3" spans="2:4" ht="16.5" customHeight="1">
      <c r="B3" s="119" t="s">
        <v>0</v>
      </c>
      <c r="C3" s="119"/>
      <c r="D3" s="119"/>
    </row>
    <row r="4" spans="2:4">
      <c r="B4" s="120"/>
      <c r="C4" s="120"/>
      <c r="D4" s="120"/>
    </row>
    <row r="5" spans="2:4">
      <c r="B5" s="107" t="s">
        <v>38</v>
      </c>
      <c r="C5" s="33"/>
      <c r="D5" s="125"/>
    </row>
    <row r="6" spans="2:4" ht="16.5" customHeight="1">
      <c r="B6" s="126"/>
      <c r="C6" s="126"/>
      <c r="D6" s="125"/>
    </row>
    <row r="7" spans="2:4" ht="16.5" customHeight="1">
      <c r="B7" s="111" t="s">
        <v>28</v>
      </c>
      <c r="C7" s="112" t="s">
        <v>29</v>
      </c>
      <c r="D7" s="109"/>
    </row>
    <row r="8" spans="2:4" ht="8.1" customHeight="1">
      <c r="B8" s="111"/>
      <c r="C8" s="110"/>
      <c r="D8" s="109"/>
    </row>
    <row r="9" spans="2:4" ht="16.5" customHeight="1">
      <c r="B9" s="111" t="s">
        <v>30</v>
      </c>
      <c r="C9" s="112" t="s">
        <v>31</v>
      </c>
      <c r="D9" s="109"/>
    </row>
    <row r="10" spans="2:4" ht="16.5" customHeight="1">
      <c r="B10" s="113"/>
      <c r="C10"/>
      <c r="D10"/>
    </row>
    <row r="11" spans="2:4" ht="48.6" customHeight="1">
      <c r="B11" s="124" t="s">
        <v>101</v>
      </c>
      <c r="C11" s="124"/>
      <c r="D11" s="124"/>
    </row>
    <row r="12" spans="2:4" ht="16.5" customHeight="1">
      <c r="B12" s="33"/>
      <c r="C12" s="33"/>
      <c r="D12" s="33"/>
    </row>
    <row r="13" spans="2:4" ht="16.5" customHeight="1">
      <c r="B13" s="121" t="s">
        <v>1</v>
      </c>
      <c r="C13" s="122"/>
      <c r="D13" s="123"/>
    </row>
    <row r="14" spans="2:4" ht="17.25" thickBot="1">
      <c r="B14"/>
      <c r="C14"/>
      <c r="D14"/>
    </row>
    <row r="15" spans="2:4" ht="19.5" thickBot="1">
      <c r="B15" s="114"/>
      <c r="C15" s="115"/>
      <c r="D15" s="115"/>
    </row>
    <row r="16" spans="2:4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</sheetData>
  <sheetProtection sheet="1" objects="1" scenarios="1"/>
  <mergeCells count="8">
    <mergeCell ref="B15:D15"/>
    <mergeCell ref="B2:D2"/>
    <mergeCell ref="B3:D3"/>
    <mergeCell ref="B4:D4"/>
    <mergeCell ref="B13:D13"/>
    <mergeCell ref="B11:D11"/>
    <mergeCell ref="D5:D6"/>
    <mergeCell ref="B6:C6"/>
  </mergeCells>
  <hyperlinks>
    <hyperlink ref="C9" r:id="rId1" xr:uid="{60F8126B-D46E-4ABD-986C-B44783A3E7CD}"/>
    <hyperlink ref="C7" r:id="rId2" xr:uid="{300DED1D-4F06-434C-AD94-7F2F434D14E3}"/>
  </hyperlinks>
  <pageMargins left="0.7" right="0.7" top="0.75" bottom="0.75" header="0.3" footer="0.3"/>
  <pageSetup scale="76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sheetPr codeName="Sheet2">
    <pageSetUpPr fitToPage="1"/>
  </sheetPr>
  <dimension ref="A1:L73"/>
  <sheetViews>
    <sheetView showGridLines="0" zoomScaleNormal="100" workbookViewId="0"/>
  </sheetViews>
  <sheetFormatPr defaultColWidth="0" defaultRowHeight="16.5" zeroHeight="1"/>
  <cols>
    <col min="1" max="1" width="3.125" style="59" customWidth="1"/>
    <col min="2" max="2" width="1.625" style="59" customWidth="1"/>
    <col min="3" max="3" width="30.875" style="59" customWidth="1"/>
    <col min="4" max="4" width="12.625" style="59" customWidth="1"/>
    <col min="5" max="5" width="11.625" style="59" customWidth="1"/>
    <col min="6" max="6" width="13" style="59" customWidth="1"/>
    <col min="7" max="7" width="12.375" style="59" customWidth="1"/>
    <col min="8" max="8" width="11.375" style="59" customWidth="1"/>
    <col min="9" max="9" width="10.625" style="59" customWidth="1"/>
    <col min="10" max="10" width="3.125" style="59" customWidth="1"/>
    <col min="11" max="11" width="10" style="59" hidden="1" customWidth="1"/>
    <col min="12" max="16384" width="9" style="59" hidden="1"/>
  </cols>
  <sheetData>
    <row r="1" spans="1:12" ht="16.5" customHeight="1">
      <c r="C1" s="107"/>
      <c r="D1"/>
      <c r="E1"/>
      <c r="F1"/>
      <c r="G1"/>
      <c r="H1"/>
    </row>
    <row r="2" spans="1:12" ht="21.75" customHeight="1">
      <c r="B2" s="130" t="s">
        <v>93</v>
      </c>
      <c r="C2" s="131"/>
      <c r="D2" s="131"/>
      <c r="E2" s="131"/>
      <c r="F2" s="131"/>
      <c r="G2" s="131"/>
      <c r="H2" s="131"/>
    </row>
    <row r="3" spans="1:12" ht="15.95" customHeight="1">
      <c r="C3" s="104"/>
      <c r="D3" s="104"/>
      <c r="E3" s="133"/>
      <c r="F3" s="133"/>
      <c r="G3" s="133"/>
      <c r="H3" s="105"/>
      <c r="L3" s="106"/>
    </row>
    <row r="4" spans="1:12" ht="33" customHeight="1">
      <c r="A4" s="92"/>
      <c r="B4" s="103" t="s">
        <v>8</v>
      </c>
      <c r="C4" s="103"/>
      <c r="D4" s="103" t="s">
        <v>3</v>
      </c>
      <c r="E4" s="97" t="s">
        <v>4</v>
      </c>
      <c r="F4" s="98" t="s">
        <v>32</v>
      </c>
      <c r="G4" s="98" t="str">
        <f>"Dollars per 
"&amp;FIXED(D49,0,FALSE)&amp;" sq. ft."</f>
        <v>Dollars per 
2,000 sq. ft.</v>
      </c>
      <c r="H4" s="98" t="s">
        <v>39</v>
      </c>
    </row>
    <row r="5" spans="1:12" ht="15.95" customHeight="1">
      <c r="A5" s="92"/>
      <c r="B5" s="33" t="s">
        <v>94</v>
      </c>
      <c r="C5" s="33"/>
      <c r="D5" s="63" t="s">
        <v>95</v>
      </c>
      <c r="E5" s="6">
        <v>600</v>
      </c>
      <c r="F5" s="5">
        <v>3.71</v>
      </c>
      <c r="G5" s="81">
        <f>E5*F5</f>
        <v>2226</v>
      </c>
      <c r="H5" s="91">
        <f>G5/2000</f>
        <v>1.113</v>
      </c>
    </row>
    <row r="6" spans="1:12" ht="15.95" customHeight="1">
      <c r="A6" s="92"/>
      <c r="B6" s="92"/>
      <c r="C6" s="78" t="s">
        <v>9</v>
      </c>
      <c r="D6"/>
      <c r="E6" s="33"/>
      <c r="F6" s="33"/>
      <c r="G6" s="79">
        <f>G5</f>
        <v>2226</v>
      </c>
      <c r="H6" s="79"/>
    </row>
    <row r="7" spans="1:12" ht="8.1" customHeight="1">
      <c r="A7" s="92"/>
      <c r="B7" s="92"/>
      <c r="C7" s="78"/>
      <c r="D7"/>
      <c r="E7" s="33"/>
      <c r="F7" s="33"/>
      <c r="G7" s="79"/>
      <c r="H7" s="79"/>
    </row>
    <row r="8" spans="1:12" ht="33" customHeight="1">
      <c r="A8" s="92"/>
      <c r="B8" s="95" t="s">
        <v>10</v>
      </c>
      <c r="C8" s="95"/>
      <c r="D8" s="103" t="s">
        <v>3</v>
      </c>
      <c r="E8" s="97" t="s">
        <v>4</v>
      </c>
      <c r="F8" s="97" t="s">
        <v>32</v>
      </c>
      <c r="G8" s="98" t="str">
        <f>G4</f>
        <v>Dollars per 
2,000 sq. ft.</v>
      </c>
      <c r="H8" s="98" t="s">
        <v>39</v>
      </c>
    </row>
    <row r="9" spans="1:12" ht="15.95" customHeight="1">
      <c r="A9" s="92"/>
      <c r="B9" s="33" t="s">
        <v>73</v>
      </c>
      <c r="C9" s="33"/>
      <c r="D9" s="63" t="s">
        <v>75</v>
      </c>
      <c r="E9" s="6">
        <v>50</v>
      </c>
      <c r="F9" s="5">
        <v>1.1200000000000001</v>
      </c>
      <c r="G9" s="79">
        <f>E9*F9</f>
        <v>56.000000000000007</v>
      </c>
      <c r="H9" s="79">
        <f>G9/2000</f>
        <v>2.8000000000000004E-2</v>
      </c>
    </row>
    <row r="10" spans="1:12" ht="15.95" customHeight="1">
      <c r="A10" s="92"/>
      <c r="B10" s="33" t="s">
        <v>40</v>
      </c>
      <c r="C10" s="33"/>
      <c r="D10" s="63" t="s">
        <v>5</v>
      </c>
      <c r="E10" s="6">
        <v>0</v>
      </c>
      <c r="F10" s="5">
        <v>15</v>
      </c>
      <c r="G10" s="79">
        <f>E10*F10</f>
        <v>0</v>
      </c>
      <c r="H10" s="79">
        <f>G10/2000</f>
        <v>0</v>
      </c>
    </row>
    <row r="11" spans="1:12" ht="15.95" customHeight="1">
      <c r="A11" s="92"/>
      <c r="B11" s="33" t="s">
        <v>46</v>
      </c>
      <c r="C11" s="33"/>
      <c r="D11" s="63"/>
      <c r="E11" s="100"/>
      <c r="F11" s="102"/>
      <c r="G11" s="79"/>
      <c r="H11" s="79"/>
    </row>
    <row r="12" spans="1:12" ht="15.95" customHeight="1">
      <c r="A12" s="92"/>
      <c r="B12" s="33"/>
      <c r="C12" s="33" t="s">
        <v>49</v>
      </c>
      <c r="D12" s="19" t="s">
        <v>74</v>
      </c>
      <c r="E12" s="6">
        <v>0</v>
      </c>
      <c r="F12" s="5">
        <v>0</v>
      </c>
      <c r="G12" s="79">
        <f t="shared" ref="G12:G14" si="0">E12*F12</f>
        <v>0</v>
      </c>
      <c r="H12" s="79">
        <f t="shared" ref="H12:H42" si="1">G12/2000</f>
        <v>0</v>
      </c>
    </row>
    <row r="13" spans="1:12" ht="15.95" customHeight="1">
      <c r="A13" s="92"/>
      <c r="B13" s="33"/>
      <c r="C13" s="33" t="s">
        <v>48</v>
      </c>
      <c r="D13" s="19" t="s">
        <v>47</v>
      </c>
      <c r="E13" s="6">
        <v>0</v>
      </c>
      <c r="F13" s="5">
        <v>0</v>
      </c>
      <c r="G13" s="79">
        <f t="shared" si="0"/>
        <v>0</v>
      </c>
      <c r="H13" s="79">
        <f t="shared" si="1"/>
        <v>0</v>
      </c>
    </row>
    <row r="14" spans="1:12" ht="15.95" customHeight="1">
      <c r="A14" s="92"/>
      <c r="B14" s="33" t="s">
        <v>97</v>
      </c>
      <c r="C14" s="33"/>
      <c r="D14" s="101" t="s">
        <v>5</v>
      </c>
      <c r="E14" s="6">
        <v>1</v>
      </c>
      <c r="F14" s="5">
        <v>45.87</v>
      </c>
      <c r="G14" s="79">
        <f t="shared" si="0"/>
        <v>45.87</v>
      </c>
      <c r="H14" s="79">
        <f t="shared" si="1"/>
        <v>2.2934999999999997E-2</v>
      </c>
    </row>
    <row r="15" spans="1:12" ht="15.95" customHeight="1">
      <c r="A15" s="92"/>
      <c r="B15" s="33" t="s">
        <v>33</v>
      </c>
      <c r="C15" s="33"/>
      <c r="D15" s="63" t="s">
        <v>52</v>
      </c>
      <c r="E15" s="6">
        <v>0</v>
      </c>
      <c r="F15" s="5">
        <v>0</v>
      </c>
      <c r="G15" s="79">
        <f>E15*F15</f>
        <v>0</v>
      </c>
      <c r="H15" s="79">
        <f t="shared" si="1"/>
        <v>0</v>
      </c>
    </row>
    <row r="16" spans="1:12" ht="15.95" customHeight="1">
      <c r="A16" s="92"/>
      <c r="B16" s="33" t="s">
        <v>50</v>
      </c>
      <c r="C16" s="33"/>
      <c r="D16" s="63" t="s">
        <v>52</v>
      </c>
      <c r="E16" s="6">
        <v>0</v>
      </c>
      <c r="F16" s="5">
        <v>0</v>
      </c>
      <c r="G16" s="79">
        <f>E16*F16</f>
        <v>0</v>
      </c>
      <c r="H16" s="79">
        <f t="shared" si="1"/>
        <v>0</v>
      </c>
    </row>
    <row r="17" spans="1:11" ht="15.95" customHeight="1">
      <c r="A17" s="92"/>
      <c r="B17" s="33" t="s">
        <v>79</v>
      </c>
      <c r="C17" s="33"/>
      <c r="D17" s="63" t="s">
        <v>81</v>
      </c>
      <c r="E17" s="6">
        <v>2000</v>
      </c>
      <c r="F17" s="5">
        <v>0.06</v>
      </c>
      <c r="G17" s="79">
        <f>E17*F17</f>
        <v>120</v>
      </c>
      <c r="H17" s="79">
        <f t="shared" si="1"/>
        <v>0.06</v>
      </c>
    </row>
    <row r="18" spans="1:11" ht="15.95" customHeight="1">
      <c r="A18" s="92"/>
      <c r="B18" s="33" t="s">
        <v>80</v>
      </c>
      <c r="C18" s="33"/>
      <c r="D18" s="63" t="s">
        <v>5</v>
      </c>
      <c r="E18" s="6">
        <v>75</v>
      </c>
      <c r="F18" s="5">
        <v>0.49</v>
      </c>
      <c r="G18" s="79">
        <f>E18*F18</f>
        <v>36.75</v>
      </c>
      <c r="H18" s="79">
        <f t="shared" si="1"/>
        <v>1.8374999999999999E-2</v>
      </c>
    </row>
    <row r="19" spans="1:11" ht="15.95" customHeight="1">
      <c r="A19" s="92"/>
      <c r="B19" s="33" t="s">
        <v>34</v>
      </c>
      <c r="C19" s="33"/>
      <c r="D19" s="63"/>
      <c r="E19" s="100"/>
      <c r="F19" s="33"/>
      <c r="G19" s="79"/>
      <c r="H19" s="79"/>
    </row>
    <row r="20" spans="1:11" ht="15.95" customHeight="1">
      <c r="A20" s="92"/>
      <c r="B20" s="92"/>
      <c r="C20" s="33" t="s">
        <v>42</v>
      </c>
      <c r="D20" s="63" t="s">
        <v>35</v>
      </c>
      <c r="E20" s="6">
        <v>0.5</v>
      </c>
      <c r="F20" s="5">
        <v>15.71</v>
      </c>
      <c r="G20" s="79">
        <f t="shared" ref="G20:G24" si="2">E20*F20</f>
        <v>7.8550000000000004</v>
      </c>
      <c r="H20" s="79">
        <f t="shared" si="1"/>
        <v>3.9275000000000004E-3</v>
      </c>
    </row>
    <row r="21" spans="1:11" ht="15.95" customHeight="1">
      <c r="A21" s="92"/>
      <c r="B21" s="92"/>
      <c r="C21" s="33" t="s">
        <v>41</v>
      </c>
      <c r="D21" s="63" t="s">
        <v>35</v>
      </c>
      <c r="E21" s="6">
        <v>1</v>
      </c>
      <c r="F21" s="5">
        <v>15.71</v>
      </c>
      <c r="G21" s="79">
        <f t="shared" si="2"/>
        <v>15.71</v>
      </c>
      <c r="H21" s="79">
        <f t="shared" si="1"/>
        <v>7.8550000000000009E-3</v>
      </c>
    </row>
    <row r="22" spans="1:11" ht="15.95" customHeight="1">
      <c r="A22" s="92"/>
      <c r="B22" s="92"/>
      <c r="C22" s="33" t="s">
        <v>43</v>
      </c>
      <c r="D22" s="63" t="s">
        <v>35</v>
      </c>
      <c r="E22" s="6">
        <v>0.5</v>
      </c>
      <c r="F22" s="5">
        <v>15.71</v>
      </c>
      <c r="G22" s="79">
        <f t="shared" si="2"/>
        <v>7.8550000000000004</v>
      </c>
      <c r="H22" s="79">
        <f t="shared" si="1"/>
        <v>3.9275000000000004E-3</v>
      </c>
    </row>
    <row r="23" spans="1:11" ht="15.95" customHeight="1">
      <c r="A23" s="92"/>
      <c r="B23" s="92"/>
      <c r="C23" s="33" t="s">
        <v>44</v>
      </c>
      <c r="D23" s="63" t="s">
        <v>35</v>
      </c>
      <c r="E23" s="6"/>
      <c r="F23" s="5">
        <v>15.71</v>
      </c>
      <c r="G23" s="79">
        <f t="shared" si="2"/>
        <v>0</v>
      </c>
      <c r="H23" s="79">
        <f t="shared" si="1"/>
        <v>0</v>
      </c>
    </row>
    <row r="24" spans="1:11" ht="15.95" customHeight="1">
      <c r="A24" s="92"/>
      <c r="B24" s="92"/>
      <c r="C24" s="33" t="s">
        <v>78</v>
      </c>
      <c r="D24" s="63" t="s">
        <v>35</v>
      </c>
      <c r="E24" s="6">
        <v>5</v>
      </c>
      <c r="F24" s="5">
        <v>15.71</v>
      </c>
      <c r="G24" s="79">
        <f t="shared" si="2"/>
        <v>78.550000000000011</v>
      </c>
      <c r="H24" s="79">
        <f t="shared" si="1"/>
        <v>3.9275000000000004E-2</v>
      </c>
    </row>
    <row r="25" spans="1:11" ht="15.95" customHeight="1">
      <c r="A25" s="92"/>
      <c r="B25" s="92"/>
      <c r="C25" s="33" t="s">
        <v>96</v>
      </c>
      <c r="D25" s="63" t="s">
        <v>35</v>
      </c>
      <c r="E25" s="6">
        <v>3</v>
      </c>
      <c r="F25" s="5">
        <v>15.71</v>
      </c>
      <c r="G25" s="79">
        <f t="shared" ref="G25:G30" si="3">E25*F25</f>
        <v>47.13</v>
      </c>
      <c r="H25" s="79">
        <f t="shared" si="1"/>
        <v>2.3565000000000003E-2</v>
      </c>
    </row>
    <row r="26" spans="1:11" ht="15.95" customHeight="1">
      <c r="A26" s="92"/>
      <c r="B26" s="92"/>
      <c r="C26" s="33" t="s">
        <v>45</v>
      </c>
      <c r="D26" s="63" t="s">
        <v>35</v>
      </c>
      <c r="E26" s="6">
        <v>0.25</v>
      </c>
      <c r="F26" s="5">
        <v>15.71</v>
      </c>
      <c r="G26" s="79">
        <f t="shared" si="3"/>
        <v>3.9275000000000002</v>
      </c>
      <c r="H26" s="79">
        <f t="shared" si="1"/>
        <v>1.9637500000000002E-3</v>
      </c>
      <c r="J26" s="94"/>
    </row>
    <row r="27" spans="1:11" ht="15.95" customHeight="1">
      <c r="A27" s="92"/>
      <c r="C27" s="33" t="s">
        <v>77</v>
      </c>
      <c r="D27" s="63" t="s">
        <v>35</v>
      </c>
      <c r="E27" s="6">
        <v>40</v>
      </c>
      <c r="F27" s="5">
        <v>15.71</v>
      </c>
      <c r="G27" s="79">
        <f t="shared" si="3"/>
        <v>628.40000000000009</v>
      </c>
      <c r="H27" s="79">
        <f t="shared" si="1"/>
        <v>0.31420000000000003</v>
      </c>
      <c r="J27" s="94"/>
      <c r="K27" s="94"/>
    </row>
    <row r="28" spans="1:11" ht="15.95" customHeight="1">
      <c r="A28" s="92"/>
      <c r="C28" s="33" t="s">
        <v>76</v>
      </c>
      <c r="D28" s="63" t="s">
        <v>35</v>
      </c>
      <c r="E28" s="6">
        <v>2</v>
      </c>
      <c r="F28" s="5">
        <v>15.71</v>
      </c>
      <c r="G28" s="79">
        <f t="shared" si="3"/>
        <v>31.42</v>
      </c>
      <c r="H28" s="79">
        <f t="shared" si="1"/>
        <v>1.5710000000000002E-2</v>
      </c>
      <c r="J28" s="94"/>
      <c r="K28" s="94"/>
    </row>
    <row r="29" spans="1:11" ht="15.95" customHeight="1">
      <c r="A29" s="92"/>
      <c r="B29" s="33" t="s">
        <v>51</v>
      </c>
      <c r="C29" s="33"/>
      <c r="D29" s="63" t="s">
        <v>5</v>
      </c>
      <c r="E29" s="6">
        <v>0</v>
      </c>
      <c r="F29" s="5">
        <v>0</v>
      </c>
      <c r="G29" s="79">
        <f t="shared" si="3"/>
        <v>0</v>
      </c>
      <c r="H29" s="79">
        <f>G29/2000</f>
        <v>0</v>
      </c>
      <c r="J29" s="94"/>
      <c r="K29" s="94"/>
    </row>
    <row r="30" spans="1:11" ht="15.95" customHeight="1">
      <c r="A30" s="92"/>
      <c r="B30" s="33" t="s">
        <v>36</v>
      </c>
      <c r="C30" s="33"/>
      <c r="D30" s="99" t="s">
        <v>27</v>
      </c>
      <c r="E30" s="79">
        <f>G6</f>
        <v>2226</v>
      </c>
      <c r="F30" s="7">
        <v>7.0814615154237787E-2</v>
      </c>
      <c r="G30" s="79">
        <f t="shared" si="3"/>
        <v>157.63333333333333</v>
      </c>
      <c r="H30" s="79">
        <f t="shared" si="1"/>
        <v>7.881666666666666E-2</v>
      </c>
      <c r="J30" s="94"/>
      <c r="K30" s="94"/>
    </row>
    <row r="31" spans="1:11" ht="15.95" customHeight="1">
      <c r="A31" s="92"/>
      <c r="B31" s="33" t="s">
        <v>37</v>
      </c>
      <c r="D31" s="63" t="s">
        <v>47</v>
      </c>
      <c r="G31" s="28">
        <v>0</v>
      </c>
      <c r="H31" s="79">
        <f t="shared" si="1"/>
        <v>0</v>
      </c>
      <c r="J31" s="94"/>
      <c r="K31" s="94"/>
    </row>
    <row r="32" spans="1:11" ht="15.95" customHeight="1">
      <c r="A32" s="92"/>
      <c r="B32" s="33" t="s">
        <v>84</v>
      </c>
      <c r="D32" s="63" t="s">
        <v>83</v>
      </c>
      <c r="E32" s="29">
        <v>0</v>
      </c>
      <c r="G32" s="81">
        <f>SUM(G9:G31)*$E$32*E36/12</f>
        <v>0</v>
      </c>
      <c r="H32" s="81">
        <f t="shared" si="1"/>
        <v>0</v>
      </c>
      <c r="J32" s="94"/>
      <c r="K32" s="94"/>
    </row>
    <row r="33" spans="1:11" ht="15.95" customHeight="1">
      <c r="A33" s="92"/>
      <c r="C33" s="78" t="s">
        <v>11</v>
      </c>
      <c r="D33" s="63"/>
      <c r="E33" s="93"/>
      <c r="F33" s="33"/>
      <c r="G33" s="79">
        <f>SUM(G9:G32)</f>
        <v>1237.1008333333334</v>
      </c>
      <c r="H33" s="79">
        <f t="shared" si="1"/>
        <v>0.61855041666666666</v>
      </c>
      <c r="J33" s="94"/>
      <c r="K33" s="94"/>
    </row>
    <row r="34" spans="1:11" ht="8.1" customHeight="1">
      <c r="A34" s="92"/>
      <c r="C34" s="78"/>
      <c r="D34" s="63"/>
      <c r="E34" s="93"/>
      <c r="F34" s="33"/>
      <c r="G34" s="79"/>
      <c r="H34" s="79"/>
      <c r="K34" s="94"/>
    </row>
    <row r="35" spans="1:11" ht="32.1" customHeight="1">
      <c r="A35" s="92"/>
      <c r="B35" s="95" t="s">
        <v>12</v>
      </c>
      <c r="C35" s="95"/>
      <c r="D35" s="96" t="s">
        <v>3</v>
      </c>
      <c r="E35" s="97" t="s">
        <v>4</v>
      </c>
      <c r="F35" s="97" t="s">
        <v>32</v>
      </c>
      <c r="G35" s="98" t="str">
        <f>G4</f>
        <v>Dollars per 
2,000 sq. ft.</v>
      </c>
      <c r="H35" s="98" t="s">
        <v>39</v>
      </c>
    </row>
    <row r="36" spans="1:11" ht="15.95" customHeight="1">
      <c r="B36" s="33" t="s">
        <v>53</v>
      </c>
      <c r="C36" s="33"/>
      <c r="D36" s="63" t="s">
        <v>54</v>
      </c>
      <c r="E36" s="20">
        <v>6</v>
      </c>
      <c r="F36" s="79">
        <f>I65/(10*12)*(D49/D48)</f>
        <v>145.46400071365511</v>
      </c>
      <c r="G36" s="91">
        <f>E36*F36</f>
        <v>872.78400428193072</v>
      </c>
      <c r="H36" s="91">
        <f t="shared" si="1"/>
        <v>0.43639200214096535</v>
      </c>
    </row>
    <row r="37" spans="1:11" ht="15.95" customHeight="1">
      <c r="C37" s="78" t="s">
        <v>13</v>
      </c>
      <c r="D37"/>
      <c r="E37" s="33"/>
      <c r="F37" s="33"/>
      <c r="G37" s="79">
        <f>SUM(G36:G36)</f>
        <v>872.78400428193072</v>
      </c>
      <c r="H37" s="79">
        <f t="shared" si="1"/>
        <v>0.43639200214096535</v>
      </c>
    </row>
    <row r="38" spans="1:11" ht="8.1" customHeight="1">
      <c r="C38" s="78"/>
      <c r="D38"/>
      <c r="E38" s="33"/>
      <c r="F38" s="33"/>
      <c r="G38" s="79"/>
      <c r="H38" s="79"/>
    </row>
    <row r="39" spans="1:11" ht="15.95" customHeight="1">
      <c r="C39" s="78" t="s">
        <v>6</v>
      </c>
      <c r="D39"/>
      <c r="E39" s="33"/>
      <c r="F39" s="33"/>
      <c r="G39" s="79">
        <f>G33+G37</f>
        <v>2109.8848376152641</v>
      </c>
      <c r="H39" s="79">
        <f t="shared" si="1"/>
        <v>1.0549424188076322</v>
      </c>
    </row>
    <row r="40" spans="1:11" ht="15.95" customHeight="1">
      <c r="B40" s="80"/>
      <c r="C40" s="78"/>
      <c r="D40" s="64"/>
      <c r="E40" s="33"/>
      <c r="F40" s="33"/>
      <c r="G40" s="79"/>
      <c r="H40" s="81"/>
    </row>
    <row r="41" spans="1:11" ht="15.95" customHeight="1">
      <c r="B41" s="82" t="s">
        <v>14</v>
      </c>
      <c r="C41" s="83"/>
      <c r="E41" s="84"/>
      <c r="F41" s="84"/>
      <c r="G41" s="85">
        <f>G6-G33</f>
        <v>988.89916666666659</v>
      </c>
      <c r="H41" s="79">
        <f t="shared" si="1"/>
        <v>0.49444958333333328</v>
      </c>
    </row>
    <row r="42" spans="1:11" ht="15.95" customHeight="1" thickBot="1">
      <c r="B42" s="86" t="s">
        <v>7</v>
      </c>
      <c r="C42" s="86"/>
      <c r="D42" s="87"/>
      <c r="E42" s="88"/>
      <c r="F42" s="88"/>
      <c r="G42" s="89">
        <f>G6-G39</f>
        <v>116.11516238473587</v>
      </c>
      <c r="H42" s="89">
        <f t="shared" si="1"/>
        <v>5.8057581192367931E-2</v>
      </c>
    </row>
    <row r="43" spans="1:11" ht="17.25" thickTop="1">
      <c r="B43" s="132" t="s">
        <v>102</v>
      </c>
      <c r="C43" s="132"/>
      <c r="D43" s="132"/>
      <c r="E43" s="132"/>
      <c r="F43" s="132"/>
      <c r="G43" s="132"/>
      <c r="H43" s="132"/>
    </row>
    <row r="44" spans="1:11">
      <c r="B44" s="146" t="s">
        <v>103</v>
      </c>
      <c r="C44" s="146"/>
      <c r="D44" s="146"/>
      <c r="E44" s="146"/>
      <c r="F44" s="146"/>
      <c r="G44" s="146"/>
      <c r="H44" s="146"/>
    </row>
    <row r="45" spans="1:11" ht="15.95" customHeight="1">
      <c r="B45" s="77"/>
      <c r="C45" s="77"/>
      <c r="D45" s="77"/>
      <c r="E45" s="77"/>
      <c r="F45" s="77"/>
      <c r="G45" s="77"/>
      <c r="H45" s="77"/>
    </row>
    <row r="46" spans="1:11" ht="15.95" customHeight="1">
      <c r="B46" t="s">
        <v>85</v>
      </c>
      <c r="C46"/>
      <c r="D46"/>
      <c r="E46"/>
      <c r="F46" s="77"/>
      <c r="G46" s="77"/>
      <c r="H46" s="77"/>
    </row>
    <row r="47" spans="1:11" ht="15.95" customHeight="1">
      <c r="B47" s="90"/>
      <c r="C47" s="90"/>
      <c r="D47" s="90" t="s">
        <v>86</v>
      </c>
      <c r="E47" s="90" t="s">
        <v>3</v>
      </c>
      <c r="F47" s="77"/>
      <c r="G47" s="77"/>
      <c r="H47" s="77"/>
    </row>
    <row r="48" spans="1:11" ht="15.95" customHeight="1">
      <c r="B48" t="s">
        <v>87</v>
      </c>
      <c r="C48"/>
      <c r="D48" s="30">
        <v>2000</v>
      </c>
      <c r="E48" s="63" t="s">
        <v>88</v>
      </c>
      <c r="F48" s="77"/>
      <c r="G48" s="77"/>
      <c r="H48" s="77"/>
    </row>
    <row r="49" spans="1:9" ht="15.95" customHeight="1">
      <c r="B49" t="s">
        <v>89</v>
      </c>
      <c r="C49"/>
      <c r="D49" s="30">
        <v>2000</v>
      </c>
      <c r="E49" s="63" t="s">
        <v>88</v>
      </c>
      <c r="F49"/>
      <c r="G49"/>
      <c r="H49"/>
    </row>
    <row r="50" spans="1:9" ht="15.95" customHeight="1">
      <c r="C50" s="71"/>
      <c r="D50"/>
      <c r="E50"/>
      <c r="F50"/>
      <c r="G50"/>
      <c r="H50"/>
    </row>
    <row r="51" spans="1:9" ht="15.95" customHeight="1">
      <c r="B51" t="s">
        <v>90</v>
      </c>
      <c r="C51"/>
      <c r="D51"/>
      <c r="E51" s="72"/>
      <c r="F51" s="73"/>
      <c r="G51" s="73"/>
      <c r="H51" s="72"/>
    </row>
    <row r="52" spans="1:9" ht="15.95" customHeight="1">
      <c r="B52" s="74" t="s">
        <v>55</v>
      </c>
      <c r="C52" s="74"/>
      <c r="D52" s="75" t="s">
        <v>34</v>
      </c>
      <c r="E52" s="75" t="s">
        <v>56</v>
      </c>
      <c r="F52" s="76" t="s">
        <v>57</v>
      </c>
      <c r="G52" s="76" t="s">
        <v>70</v>
      </c>
      <c r="H52" s="75" t="s">
        <v>71</v>
      </c>
      <c r="I52" s="75" t="s">
        <v>72</v>
      </c>
    </row>
    <row r="53" spans="1:9" ht="15.95" customHeight="1">
      <c r="A53"/>
      <c r="B53" s="134" t="s">
        <v>58</v>
      </c>
      <c r="C53" s="134"/>
      <c r="D53" s="21">
        <v>393.2978984857732</v>
      </c>
      <c r="E53" s="21">
        <v>86.064129503346848</v>
      </c>
      <c r="F53" s="22">
        <v>0</v>
      </c>
      <c r="G53" s="62">
        <f>SUM(D53:F53)</f>
        <v>479.36202798912007</v>
      </c>
      <c r="H53" s="26">
        <v>10</v>
      </c>
      <c r="I53" s="61">
        <f>G53/(H53/10)</f>
        <v>479.36202798912007</v>
      </c>
    </row>
    <row r="54" spans="1:9" ht="15.95" customHeight="1">
      <c r="A54"/>
      <c r="B54" s="127" t="s">
        <v>59</v>
      </c>
      <c r="C54" s="127"/>
      <c r="D54" s="21">
        <v>17.849751209722509</v>
      </c>
      <c r="E54" s="21">
        <v>0</v>
      </c>
      <c r="F54" s="21">
        <v>133.34510624228753</v>
      </c>
      <c r="G54" s="62">
        <f t="shared" ref="G54:G65" si="4">SUM(D54:F54)</f>
        <v>151.19485745201004</v>
      </c>
      <c r="H54" s="26">
        <v>10</v>
      </c>
      <c r="I54" s="61">
        <f t="shared" ref="I54:I64" si="5">G54/(H54/10)</f>
        <v>151.19485745201004</v>
      </c>
    </row>
    <row r="55" spans="1:9" ht="15.95" customHeight="1">
      <c r="A55"/>
      <c r="B55" s="127" t="s">
        <v>60</v>
      </c>
      <c r="C55" s="127"/>
      <c r="D55" s="21">
        <v>356.89446221580391</v>
      </c>
      <c r="E55" s="21">
        <v>196.20403696654191</v>
      </c>
      <c r="F55" s="23">
        <v>281.62486438371127</v>
      </c>
      <c r="G55" s="62">
        <f t="shared" si="4"/>
        <v>834.72336356605706</v>
      </c>
      <c r="H55" s="26">
        <v>10</v>
      </c>
      <c r="I55" s="61">
        <f t="shared" si="5"/>
        <v>834.72336356605706</v>
      </c>
    </row>
    <row r="56" spans="1:9" ht="15.95" customHeight="1">
      <c r="A56"/>
      <c r="B56" s="127" t="s">
        <v>61</v>
      </c>
      <c r="C56" s="127"/>
      <c r="D56" s="21">
        <v>356.89446221580391</v>
      </c>
      <c r="E56" s="21">
        <v>0</v>
      </c>
      <c r="F56" s="21">
        <v>9399.2298488063643</v>
      </c>
      <c r="G56" s="62">
        <f t="shared" si="4"/>
        <v>9756.1243110221676</v>
      </c>
      <c r="H56" s="26">
        <v>10</v>
      </c>
      <c r="I56" s="61">
        <f t="shared" si="5"/>
        <v>9756.1243110221676</v>
      </c>
    </row>
    <row r="57" spans="1:9" ht="15.95" customHeight="1">
      <c r="A57"/>
      <c r="B57" s="127" t="s">
        <v>62</v>
      </c>
      <c r="C57" s="127"/>
      <c r="D57" s="21">
        <v>118.9648207386013</v>
      </c>
      <c r="E57" s="21">
        <v>0</v>
      </c>
      <c r="F57" s="21">
        <v>159.53408510827282</v>
      </c>
      <c r="G57" s="62">
        <f t="shared" si="4"/>
        <v>278.4989058468741</v>
      </c>
      <c r="H57" s="26">
        <v>10</v>
      </c>
      <c r="I57" s="61">
        <f t="shared" si="5"/>
        <v>278.4989058468741</v>
      </c>
    </row>
    <row r="58" spans="1:9" ht="15.95" customHeight="1">
      <c r="A58"/>
      <c r="B58" s="127" t="s">
        <v>63</v>
      </c>
      <c r="C58" s="127"/>
      <c r="D58" s="21">
        <v>594.82410369300646</v>
      </c>
      <c r="E58" s="21">
        <v>0</v>
      </c>
      <c r="F58" s="21">
        <v>449.37300803650896</v>
      </c>
      <c r="G58" s="62">
        <f t="shared" si="4"/>
        <v>1044.1971117295154</v>
      </c>
      <c r="H58" s="26">
        <v>10</v>
      </c>
      <c r="I58" s="61">
        <f t="shared" si="5"/>
        <v>1044.1971117295154</v>
      </c>
    </row>
    <row r="59" spans="1:9" ht="15.95" customHeight="1">
      <c r="A59"/>
      <c r="B59" s="127" t="s">
        <v>64</v>
      </c>
      <c r="C59" s="127"/>
      <c r="D59" s="21">
        <v>118.9648207386013</v>
      </c>
      <c r="E59" s="21">
        <v>0</v>
      </c>
      <c r="F59" s="21">
        <v>874.74389694940623</v>
      </c>
      <c r="G59" s="62">
        <f t="shared" si="4"/>
        <v>993.70871768800748</v>
      </c>
      <c r="H59" s="26">
        <v>3</v>
      </c>
      <c r="I59" s="61">
        <f t="shared" si="5"/>
        <v>3312.3623922933584</v>
      </c>
    </row>
    <row r="60" spans="1:9" ht="15.95" customHeight="1">
      <c r="A60"/>
      <c r="B60" s="127" t="s">
        <v>65</v>
      </c>
      <c r="C60" s="127"/>
      <c r="D60" s="21">
        <v>29.741205184650326</v>
      </c>
      <c r="E60" s="21">
        <v>0</v>
      </c>
      <c r="F60" s="21">
        <v>0</v>
      </c>
      <c r="G60" s="62">
        <f t="shared" si="4"/>
        <v>29.741205184650326</v>
      </c>
      <c r="H60" s="26">
        <v>10</v>
      </c>
      <c r="I60" s="61">
        <f t="shared" si="5"/>
        <v>29.741205184650326</v>
      </c>
    </row>
    <row r="61" spans="1:9" ht="15.95" customHeight="1">
      <c r="A61"/>
      <c r="B61" s="127" t="s">
        <v>66</v>
      </c>
      <c r="C61" s="127"/>
      <c r="D61" s="21">
        <v>0</v>
      </c>
      <c r="E61" s="23">
        <v>0</v>
      </c>
      <c r="F61" s="21">
        <v>816.0720502027998</v>
      </c>
      <c r="G61" s="62">
        <f t="shared" si="4"/>
        <v>816.0720502027998</v>
      </c>
      <c r="H61" s="26">
        <v>10</v>
      </c>
      <c r="I61" s="61">
        <f t="shared" si="5"/>
        <v>816.0720502027998</v>
      </c>
    </row>
    <row r="62" spans="1:9" ht="15.95" customHeight="1">
      <c r="A62"/>
      <c r="B62" s="24" t="s">
        <v>67</v>
      </c>
      <c r="C62" s="24"/>
      <c r="D62" s="21">
        <v>178.44723110790196</v>
      </c>
      <c r="E62" s="21">
        <v>0</v>
      </c>
      <c r="F62" s="21">
        <v>295.09272011418238</v>
      </c>
      <c r="G62" s="62">
        <f t="shared" si="4"/>
        <v>473.53995122208437</v>
      </c>
      <c r="H62" s="26">
        <v>10</v>
      </c>
      <c r="I62" s="61">
        <f t="shared" si="5"/>
        <v>473.53995122208437</v>
      </c>
    </row>
    <row r="63" spans="1:9" ht="15.95" customHeight="1">
      <c r="A63"/>
      <c r="B63" s="128" t="s">
        <v>68</v>
      </c>
      <c r="C63" s="128"/>
      <c r="D63" s="21">
        <v>146.51880288769411</v>
      </c>
      <c r="E63" s="21">
        <v>0</v>
      </c>
      <c r="F63" s="21">
        <v>0</v>
      </c>
      <c r="G63" s="62">
        <f t="shared" si="4"/>
        <v>146.51880288769411</v>
      </c>
      <c r="H63" s="26">
        <v>10</v>
      </c>
      <c r="I63" s="61">
        <f t="shared" si="5"/>
        <v>146.51880288769411</v>
      </c>
    </row>
    <row r="64" spans="1:9" ht="15.95" customHeight="1">
      <c r="A64"/>
      <c r="B64" s="129" t="s">
        <v>69</v>
      </c>
      <c r="C64" s="129"/>
      <c r="D64" s="25">
        <v>0</v>
      </c>
      <c r="E64" s="25">
        <v>0</v>
      </c>
      <c r="F64" s="25">
        <v>133.34510624228753</v>
      </c>
      <c r="G64" s="70">
        <f t="shared" si="4"/>
        <v>133.34510624228753</v>
      </c>
      <c r="H64" s="27">
        <v>10</v>
      </c>
      <c r="I64" s="66">
        <f t="shared" si="5"/>
        <v>133.34510624228753</v>
      </c>
    </row>
    <row r="65" spans="1:9" ht="15.95" customHeight="1">
      <c r="A65"/>
      <c r="C65" s="60" t="s">
        <v>70</v>
      </c>
      <c r="D65" s="61">
        <f>SUM(D53:D64)</f>
        <v>2312.397558477559</v>
      </c>
      <c r="E65" s="61">
        <f t="shared" ref="E65:F65" si="6">SUM(E53:E64)</f>
        <v>282.26816646988874</v>
      </c>
      <c r="F65" s="61">
        <f t="shared" si="6"/>
        <v>12542.360686085822</v>
      </c>
      <c r="G65" s="62">
        <f t="shared" si="4"/>
        <v>15137.02641103327</v>
      </c>
      <c r="H65" s="63"/>
      <c r="I65" s="61">
        <f>SUM(I53:I64)</f>
        <v>17455.680085638614</v>
      </c>
    </row>
    <row r="66" spans="1:9" ht="15.95" customHeight="1">
      <c r="A66"/>
      <c r="B66" s="64"/>
      <c r="C66" s="65" t="s">
        <v>82</v>
      </c>
      <c r="D66" s="66">
        <f>D65/$D$48</f>
        <v>1.1561987792387796</v>
      </c>
      <c r="E66" s="66">
        <f t="shared" ref="E66:I66" si="7">E65/$D$48</f>
        <v>0.14113408323494436</v>
      </c>
      <c r="F66" s="66">
        <f t="shared" si="7"/>
        <v>6.2711803430429107</v>
      </c>
      <c r="G66" s="66">
        <f t="shared" si="7"/>
        <v>7.5685132055166351</v>
      </c>
      <c r="H66" s="66"/>
      <c r="I66" s="66">
        <f t="shared" si="7"/>
        <v>8.7278400428193077</v>
      </c>
    </row>
    <row r="67" spans="1:9" ht="15.95" customHeight="1">
      <c r="A67"/>
      <c r="D67" s="67"/>
      <c r="E67" s="67"/>
      <c r="F67" s="67"/>
      <c r="G67" s="67"/>
      <c r="H67" s="67"/>
    </row>
    <row r="68" spans="1:9" ht="15.95" hidden="1" customHeight="1">
      <c r="A68"/>
      <c r="C68"/>
      <c r="D68" s="68"/>
      <c r="E68"/>
      <c r="F68" s="69"/>
      <c r="G68" s="69"/>
      <c r="H68" s="69"/>
    </row>
    <row r="69" spans="1:9" ht="15.95" hidden="1" customHeight="1">
      <c r="A69"/>
    </row>
    <row r="70" spans="1:9" ht="15.95" hidden="1" customHeight="1">
      <c r="A70"/>
    </row>
    <row r="71" spans="1:9" ht="15.95" hidden="1" customHeight="1">
      <c r="A71"/>
    </row>
    <row r="72" spans="1:9" ht="15.95" hidden="1" customHeight="1"/>
    <row r="73" spans="1:9" ht="15.95" hidden="1" customHeight="1"/>
  </sheetData>
  <sheetProtection sheet="1" objects="1" scenarios="1"/>
  <mergeCells count="15">
    <mergeCell ref="B2:H2"/>
    <mergeCell ref="B43:H43"/>
    <mergeCell ref="E3:G3"/>
    <mergeCell ref="B53:C53"/>
    <mergeCell ref="B54:C54"/>
    <mergeCell ref="B44:H44"/>
    <mergeCell ref="B60:C60"/>
    <mergeCell ref="B61:C61"/>
    <mergeCell ref="B63:C63"/>
    <mergeCell ref="B64:C64"/>
    <mergeCell ref="B55:C55"/>
    <mergeCell ref="B56:C56"/>
    <mergeCell ref="B57:C57"/>
    <mergeCell ref="B58:C58"/>
    <mergeCell ref="B59:C59"/>
  </mergeCells>
  <conditionalFormatting sqref="E4">
    <cfRule type="expression" dxfId="4" priority="3">
      <formula>$G$1="no"</formula>
    </cfRule>
  </conditionalFormatting>
  <conditionalFormatting sqref="E8">
    <cfRule type="expression" dxfId="3" priority="2">
      <formula>$G$1="no"</formula>
    </cfRule>
  </conditionalFormatting>
  <conditionalFormatting sqref="E35">
    <cfRule type="expression" dxfId="2" priority="1">
      <formula>$G$1="no"</formula>
    </cfRule>
  </conditionalFormatting>
  <hyperlinks>
    <hyperlink ref="B44" r:id="rId1" xr:uid="{B5A2958E-74E6-4AFE-8B29-A17409633AFB}"/>
  </hyperlinks>
  <pageMargins left="0.7" right="0.7" top="0.75" bottom="0.75" header="0.3" footer="0.3"/>
  <pageSetup scale="83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5F7E-0FF1-4027-B3F0-598DF36CC945}">
  <sheetPr codeName="Sheet3">
    <pageSetUpPr fitToPage="1"/>
  </sheetPr>
  <dimension ref="A1:L36"/>
  <sheetViews>
    <sheetView showGridLines="0" workbookViewId="0"/>
  </sheetViews>
  <sheetFormatPr defaultColWidth="0" defaultRowHeight="15" zeroHeight="1"/>
  <cols>
    <col min="1" max="1" width="3.125" customWidth="1"/>
    <col min="2" max="2" width="8.625" customWidth="1"/>
    <col min="3" max="3" width="10.125" customWidth="1"/>
    <col min="4" max="4" width="10.375" customWidth="1"/>
    <col min="5" max="5" width="11.875" customWidth="1"/>
    <col min="6" max="6" width="9.75" bestFit="1" customWidth="1"/>
    <col min="7" max="7" width="9.125" bestFit="1" customWidth="1"/>
    <col min="8" max="8" width="9.875" customWidth="1"/>
    <col min="9" max="9" width="11" customWidth="1"/>
    <col min="10" max="10" width="10" bestFit="1" customWidth="1"/>
    <col min="11" max="11" width="10.125" customWidth="1"/>
    <col min="12" max="12" width="3.125" customWidth="1"/>
    <col min="13" max="16384" width="8.625" hidden="1"/>
  </cols>
  <sheetData>
    <row r="1" spans="2:11" ht="15.75">
      <c r="B1" s="135" t="s">
        <v>98</v>
      </c>
      <c r="C1" s="135"/>
      <c r="D1" s="135"/>
      <c r="E1" s="135"/>
      <c r="F1" s="135"/>
      <c r="G1" s="135"/>
      <c r="H1" s="135"/>
      <c r="I1" s="135"/>
      <c r="J1" s="135"/>
      <c r="K1" s="135"/>
    </row>
    <row r="2" spans="2:11" ht="33.950000000000003" customHeight="1">
      <c r="B2" s="144" t="s">
        <v>100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2:11" ht="16.5" customHeight="1">
      <c r="B3" s="8"/>
      <c r="C3" s="9"/>
      <c r="D3" s="13"/>
      <c r="E3" s="145" t="str">
        <f>"Pounds per "&amp;FIXED(Budget!D49,0,FALSE)&amp;" square feet"</f>
        <v>Pounds per 2,000 square feet</v>
      </c>
      <c r="F3" s="140"/>
      <c r="G3" s="140"/>
      <c r="H3" s="140"/>
      <c r="I3" s="140"/>
      <c r="J3" s="140"/>
      <c r="K3" s="141"/>
    </row>
    <row r="4" spans="2:11" ht="16.5" customHeight="1">
      <c r="B4" s="10"/>
      <c r="C4" s="11"/>
      <c r="D4" s="14"/>
      <c r="E4" s="55" t="s">
        <v>25</v>
      </c>
      <c r="F4" s="55" t="s">
        <v>24</v>
      </c>
      <c r="G4" s="55" t="s">
        <v>20</v>
      </c>
      <c r="H4" s="55" t="s">
        <v>18</v>
      </c>
      <c r="I4" s="55" t="s">
        <v>16</v>
      </c>
      <c r="J4" s="55" t="s">
        <v>22</v>
      </c>
      <c r="K4" s="56" t="s">
        <v>23</v>
      </c>
    </row>
    <row r="5" spans="2:11" ht="16.5" customHeight="1">
      <c r="B5" s="15"/>
      <c r="C5" s="16"/>
      <c r="D5" s="2"/>
      <c r="E5" s="57">
        <f>H5*70%</f>
        <v>420</v>
      </c>
      <c r="F5" s="57">
        <f>H5*80%</f>
        <v>480</v>
      </c>
      <c r="G5" s="57">
        <f>H5*90%</f>
        <v>540</v>
      </c>
      <c r="H5" s="31">
        <f>Budget!E5</f>
        <v>600</v>
      </c>
      <c r="I5" s="57">
        <f>H5*110%</f>
        <v>660</v>
      </c>
      <c r="J5" s="57">
        <f>H5*120%</f>
        <v>720</v>
      </c>
      <c r="K5" s="58">
        <f>H5*130%</f>
        <v>780</v>
      </c>
    </row>
    <row r="6" spans="2:11" ht="16.5" customHeight="1">
      <c r="B6" s="137" t="s">
        <v>99</v>
      </c>
      <c r="C6" s="50" t="s">
        <v>21</v>
      </c>
      <c r="D6" s="51">
        <f>D9*85%</f>
        <v>3.1534999999999997</v>
      </c>
      <c r="E6" s="36">
        <f>(D6*$E$5)-Budget!$G$39</f>
        <v>-785.41483761526433</v>
      </c>
      <c r="F6" s="37">
        <f>(D6*$F$5)-Budget!$G$39</f>
        <v>-596.2048376152643</v>
      </c>
      <c r="G6" s="37">
        <f>(D6*$G$5)-Budget!$G$39</f>
        <v>-406.99483761526426</v>
      </c>
      <c r="H6" s="37">
        <f>(D6*$H$5)-Budget!$G$39</f>
        <v>-217.78483761526422</v>
      </c>
      <c r="I6" s="37">
        <f>(D6*$I$5)-Budget!$G$39</f>
        <v>-28.574837615264187</v>
      </c>
      <c r="J6" s="37">
        <f>(D6*$J$5)-Budget!$G$39</f>
        <v>160.63516238473585</v>
      </c>
      <c r="K6" s="38">
        <f>(D6*$K$5)-Budget!$G$39</f>
        <v>349.84516238473589</v>
      </c>
    </row>
    <row r="7" spans="2:11" ht="16.5" customHeight="1">
      <c r="B7" s="137"/>
      <c r="C7" s="50" t="s">
        <v>20</v>
      </c>
      <c r="D7" s="51">
        <f>D9*90%</f>
        <v>3.339</v>
      </c>
      <c r="E7" s="39">
        <f>(D7*$E$5)-Budget!$G$39</f>
        <v>-707.50483761526425</v>
      </c>
      <c r="F7" s="40">
        <f>(D7*$F$5)-Budget!$G$39</f>
        <v>-507.1648376152641</v>
      </c>
      <c r="G7" s="40">
        <f>(D7*$G$5)-Budget!$G$39</f>
        <v>-306.82483761526419</v>
      </c>
      <c r="H7" s="40">
        <f>(D7*$H$5)-Budget!$G$39</f>
        <v>-106.48483761526404</v>
      </c>
      <c r="I7" s="40">
        <f>(D7*$I$5)-Budget!$G$39</f>
        <v>93.85516238473565</v>
      </c>
      <c r="J7" s="40">
        <f>(D7*$J$5)-Budget!$G$39</f>
        <v>294.1951623847358</v>
      </c>
      <c r="K7" s="41">
        <f>(D7*$K$5)-Budget!$G$39</f>
        <v>494.53516238473594</v>
      </c>
    </row>
    <row r="8" spans="2:11" ht="16.5" customHeight="1" thickBot="1">
      <c r="B8" s="137"/>
      <c r="C8" s="52" t="s">
        <v>19</v>
      </c>
      <c r="D8" s="51">
        <f>D9*0.95</f>
        <v>3.5244999999999997</v>
      </c>
      <c r="E8" s="39">
        <f>(D8*$E$5)-Budget!$G$39</f>
        <v>-629.59483761526417</v>
      </c>
      <c r="F8" s="40">
        <f>(D8*$F$5)-Budget!$G$39</f>
        <v>-418.12483761526437</v>
      </c>
      <c r="G8" s="40">
        <f>(D8*$G$5)-Budget!$G$39</f>
        <v>-206.65483761526434</v>
      </c>
      <c r="H8" s="40">
        <f>(D8*$H$5)-Budget!$G$39</f>
        <v>4.8151623847356859</v>
      </c>
      <c r="I8" s="40">
        <f>(D8*$I$5)-Budget!$G$39</f>
        <v>216.28516238473549</v>
      </c>
      <c r="J8" s="40">
        <f>(D8*$J$5)-Budget!$G$39</f>
        <v>427.75516238473574</v>
      </c>
      <c r="K8" s="41">
        <f>(D8*$K$5)-Budget!$G$39</f>
        <v>639.22516238473554</v>
      </c>
    </row>
    <row r="9" spans="2:11" ht="16.5" customHeight="1" thickBot="1">
      <c r="B9" s="137"/>
      <c r="C9" s="50" t="s">
        <v>18</v>
      </c>
      <c r="D9" s="32">
        <f>Budget!F5</f>
        <v>3.71</v>
      </c>
      <c r="E9" s="39">
        <f>(D9*$E$5)-Budget!$G$39</f>
        <v>-551.68483761526409</v>
      </c>
      <c r="F9" s="40">
        <f>(D9*$F$5)-Budget!$G$39</f>
        <v>-329.08483761526418</v>
      </c>
      <c r="G9" s="40">
        <f>(D9*$G$5)-Budget!$G$39</f>
        <v>-106.48483761526404</v>
      </c>
      <c r="H9" s="42">
        <f>(D9*$H$5)-Budget!$G$39</f>
        <v>116.11516238473587</v>
      </c>
      <c r="I9" s="40">
        <f>(D9*$I$5)-Budget!$G$39</f>
        <v>338.71516238473578</v>
      </c>
      <c r="J9" s="40">
        <f>(D9*$J$5)-Budget!$G$39</f>
        <v>561.31516238473569</v>
      </c>
      <c r="K9" s="41">
        <f>(D9*$K$5)-Budget!$G$39</f>
        <v>783.91516238473605</v>
      </c>
    </row>
    <row r="10" spans="2:11" ht="16.5" customHeight="1">
      <c r="B10" s="137"/>
      <c r="C10" s="50" t="s">
        <v>17</v>
      </c>
      <c r="D10" s="51">
        <f>D9*105%</f>
        <v>3.8955000000000002</v>
      </c>
      <c r="E10" s="39">
        <f>(D10*$E$5)-Budget!$G$39</f>
        <v>-473.774837615264</v>
      </c>
      <c r="F10" s="40">
        <f>(D10*$F$5)-Budget!$G$39</f>
        <v>-240.04483761526399</v>
      </c>
      <c r="G10" s="40">
        <f>(D10*$G$5)-Budget!$G$39</f>
        <v>-6.3148376152639685</v>
      </c>
      <c r="H10" s="40">
        <f>(D10*$H$5)-Budget!$G$39</f>
        <v>227.41516238473605</v>
      </c>
      <c r="I10" s="40">
        <f>(D10*$I$5)-Budget!$G$39</f>
        <v>461.14516238473607</v>
      </c>
      <c r="J10" s="40">
        <f>(D10*$J$5)-Budget!$G$39</f>
        <v>694.87516238473609</v>
      </c>
      <c r="K10" s="41">
        <f>(D10*$K$5)-Budget!$G$39</f>
        <v>928.6051623847361</v>
      </c>
    </row>
    <row r="11" spans="2:11" ht="16.5" customHeight="1">
      <c r="B11" s="137"/>
      <c r="C11" s="50" t="s">
        <v>16</v>
      </c>
      <c r="D11" s="51">
        <f>D9*110%</f>
        <v>4.0810000000000004</v>
      </c>
      <c r="E11" s="39">
        <f>(D11*$E$5)-Budget!$G$39</f>
        <v>-395.86483761526392</v>
      </c>
      <c r="F11" s="40">
        <f>(D11*$F$5)-Budget!$G$39</f>
        <v>-151.00483761526402</v>
      </c>
      <c r="G11" s="40">
        <f>(D11*$G$5)-Budget!$G$39</f>
        <v>93.855162384736104</v>
      </c>
      <c r="H11" s="40">
        <f>(D11*$H$5)-Budget!$G$39</f>
        <v>338.71516238473623</v>
      </c>
      <c r="I11" s="40">
        <f>(D11*$I$5)-Budget!$G$39</f>
        <v>583.57516238473636</v>
      </c>
      <c r="J11" s="40">
        <f>(D11*$J$5)-Budget!$G$39</f>
        <v>828.43516238473603</v>
      </c>
      <c r="K11" s="41">
        <f>(D11*$K$5)-Budget!$G$39</f>
        <v>1073.2951623847362</v>
      </c>
    </row>
    <row r="12" spans="2:11" ht="16.5" customHeight="1">
      <c r="B12" s="138"/>
      <c r="C12" s="53" t="s">
        <v>15</v>
      </c>
      <c r="D12" s="54">
        <f>D9*115%</f>
        <v>4.2664999999999997</v>
      </c>
      <c r="E12" s="44">
        <f>(D12*$E$5)-Budget!$G$39</f>
        <v>-317.9548376152643</v>
      </c>
      <c r="F12" s="45">
        <f>(D12*$F$5)-Budget!$G$39</f>
        <v>-61.964837615264287</v>
      </c>
      <c r="G12" s="45">
        <f>(D12*$G$5)-Budget!$G$39</f>
        <v>194.02516238473572</v>
      </c>
      <c r="H12" s="45">
        <f>(D12*$H$5)-Budget!$G$39</f>
        <v>450.0151623847355</v>
      </c>
      <c r="I12" s="45">
        <f>(D12*$I$5)-Budget!$G$39</f>
        <v>706.00516238473574</v>
      </c>
      <c r="J12" s="45">
        <f>(D12*$J$5)-Budget!$G$39</f>
        <v>961.99516238473552</v>
      </c>
      <c r="K12" s="46">
        <f>(D12*$K$5)-Budget!$G$39</f>
        <v>1217.9851623847358</v>
      </c>
    </row>
    <row r="13" spans="2:11" ht="16.5" customHeight="1"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2:11" ht="16.5" customHeight="1">
      <c r="B14" s="135" t="s">
        <v>26</v>
      </c>
      <c r="C14" s="135"/>
      <c r="D14" s="135"/>
      <c r="E14" s="135"/>
      <c r="F14" s="135"/>
      <c r="G14" s="135"/>
      <c r="H14" s="135"/>
      <c r="I14" s="135"/>
      <c r="J14" s="135"/>
      <c r="K14" s="135"/>
    </row>
    <row r="15" spans="2:11" ht="16.5" customHeight="1">
      <c r="B15" s="144" t="s">
        <v>91</v>
      </c>
      <c r="C15" s="144"/>
      <c r="D15" s="144"/>
      <c r="E15" s="144"/>
      <c r="F15" s="144"/>
      <c r="G15" s="144"/>
      <c r="H15" s="144"/>
      <c r="I15" s="144"/>
      <c r="J15" s="144"/>
      <c r="K15" s="144"/>
    </row>
    <row r="16" spans="2:11" ht="16.5" customHeight="1">
      <c r="B16" s="8"/>
      <c r="C16" s="17"/>
      <c r="D16" s="17"/>
      <c r="E16" s="139" t="s">
        <v>2</v>
      </c>
      <c r="F16" s="140"/>
      <c r="G16" s="140"/>
      <c r="H16" s="140"/>
      <c r="I16" s="140"/>
      <c r="J16" s="140"/>
      <c r="K16" s="141"/>
    </row>
    <row r="17" spans="2:11" ht="16.5" customHeight="1">
      <c r="B17" s="12"/>
      <c r="C17" s="1"/>
      <c r="D17" s="3"/>
      <c r="E17" s="47" t="s">
        <v>21</v>
      </c>
      <c r="F17" s="48" t="s">
        <v>20</v>
      </c>
      <c r="G17" s="48" t="s">
        <v>19</v>
      </c>
      <c r="H17" s="48" t="s">
        <v>18</v>
      </c>
      <c r="I17" s="48" t="s">
        <v>17</v>
      </c>
      <c r="J17" s="48" t="s">
        <v>16</v>
      </c>
      <c r="K17" s="49" t="s">
        <v>15</v>
      </c>
    </row>
    <row r="18" spans="2:11" ht="16.5" customHeight="1">
      <c r="B18" s="142" t="s">
        <v>10</v>
      </c>
      <c r="C18" s="4"/>
      <c r="D18" s="35" t="s">
        <v>21</v>
      </c>
      <c r="E18" s="36">
        <f>(Budget!G6*0.85)-(Budget!G33*0.85)-Budget!G37</f>
        <v>-32.219712615264143</v>
      </c>
      <c r="F18" s="37">
        <f>(Budget!G6*0.9)-(Budget!G33*0.85)-Budget!G37</f>
        <v>79.080287384736039</v>
      </c>
      <c r="G18" s="37">
        <f>(Budget!G6*0.95)-(Budget!G33*0.85)-Budget!G37</f>
        <v>190.38028738473577</v>
      </c>
      <c r="H18" s="37">
        <f>Budget!G6-(Budget!G33*0.85)-Budget!G37</f>
        <v>301.68028738473595</v>
      </c>
      <c r="I18" s="37">
        <f>(Budget!G6*1.05)-(Budget!G33*0.85)-Budget!G37</f>
        <v>412.98028738473613</v>
      </c>
      <c r="J18" s="37">
        <f>(Budget!G6*1.1)-(Budget!G33*0.85)-Budget!G37</f>
        <v>524.28028738473631</v>
      </c>
      <c r="K18" s="38">
        <f>(Budget!G6*1.15)-(Budget!G33*0.85)-Budget!G37</f>
        <v>635.58028738473558</v>
      </c>
    </row>
    <row r="19" spans="2:11" ht="16.5" customHeight="1">
      <c r="B19" s="142"/>
      <c r="C19" s="4"/>
      <c r="D19" s="35" t="s">
        <v>20</v>
      </c>
      <c r="E19" s="39">
        <f>(Budget!G6*0.85)-(Budget!G33*0.9)-Budget!G37</f>
        <v>-94.074754281930836</v>
      </c>
      <c r="F19" s="40">
        <f>(Budget!G6*0.9)-(Budget!G33*0.9)-Budget!G37</f>
        <v>17.225245718069345</v>
      </c>
      <c r="G19" s="40">
        <f>(Budget!G6*0.95)-(Budget!G33*0.9)-Budget!G37</f>
        <v>128.52524571806907</v>
      </c>
      <c r="H19" s="40">
        <f>Budget!G6-(Budget!G33*0.9)-Budget!G37</f>
        <v>239.82524571806925</v>
      </c>
      <c r="I19" s="40">
        <f>(Budget!G6*1.05)-(Budget!G33*0.9)-Budget!G37</f>
        <v>351.12524571806944</v>
      </c>
      <c r="J19" s="40">
        <f>(Budget!G6*1.1)-(Budget!G33*0.9)-Budget!G37</f>
        <v>462.42524571806962</v>
      </c>
      <c r="K19" s="41">
        <f>(Budget!G6*1.15)-(Budget!G33*0.9)-Budget!G37</f>
        <v>573.72524571806889</v>
      </c>
    </row>
    <row r="20" spans="2:11" ht="16.5" customHeight="1" thickBot="1">
      <c r="B20" s="142"/>
      <c r="C20" s="4"/>
      <c r="D20" s="35" t="s">
        <v>19</v>
      </c>
      <c r="E20" s="39">
        <f>(Budget!G6*0.85)-(Budget!G33*0.95)-Budget!G37</f>
        <v>-155.92979594859753</v>
      </c>
      <c r="F20" s="40">
        <f>(Budget!G6*0.9)-(Budget!G33*0.95)-Budget!G37</f>
        <v>-44.629795948597348</v>
      </c>
      <c r="G20" s="40">
        <f>(Budget!G6*0.95)-(Budget!G33*0.95)-Budget!G37</f>
        <v>66.670204051402379</v>
      </c>
      <c r="H20" s="40">
        <f>Budget!G6-(Budget!G33*0.95)-Budget!G37</f>
        <v>177.97020405140256</v>
      </c>
      <c r="I20" s="40">
        <f>(Budget!G6*1.05)-(Budget!G33*0.95)-Budget!G37</f>
        <v>289.27020405140274</v>
      </c>
      <c r="J20" s="40">
        <f>(Budget!G6*1.1)-(Budget!G33*0.95)-Budget!G37</f>
        <v>400.57020405140292</v>
      </c>
      <c r="K20" s="41">
        <f>(Budget!G6*1.15)-(Budget!G33*0.95)-Budget!G37</f>
        <v>511.8702040514022</v>
      </c>
    </row>
    <row r="21" spans="2:11" ht="16.5" customHeight="1" thickBot="1">
      <c r="B21" s="142"/>
      <c r="C21" s="4"/>
      <c r="D21" s="35" t="s">
        <v>18</v>
      </c>
      <c r="E21" s="39">
        <f>(Budget!G6*0.85)-Budget!G33-Budget!GG43</f>
        <v>654.9991666666665</v>
      </c>
      <c r="F21" s="40">
        <f>(Budget!G6*0.9)-(Budget!G33)-Budget!G37</f>
        <v>-106.48483761526404</v>
      </c>
      <c r="G21" s="40">
        <f>(Budget!G6*0.95)-(Budget!G33)-Budget!G37</f>
        <v>4.8151623847356859</v>
      </c>
      <c r="H21" s="42">
        <f>Budget!G6-(Budget!G33)-Budget!G37</f>
        <v>116.11516238473587</v>
      </c>
      <c r="I21" s="40">
        <f>(Budget!G6*1.05)-(Budget!G33)-Budget!G37</f>
        <v>227.41516238473605</v>
      </c>
      <c r="J21" s="40">
        <f>(Budget!G6*1.1)-(Budget!G33)-Budget!G37</f>
        <v>338.71516238473623</v>
      </c>
      <c r="K21" s="41">
        <f>(Budget!G6*1.15)-(Budget!G33)-Budget!G37</f>
        <v>450.0151623847355</v>
      </c>
    </row>
    <row r="22" spans="2:11" ht="16.5" customHeight="1">
      <c r="B22" s="142"/>
      <c r="C22" s="4"/>
      <c r="D22" s="35" t="s">
        <v>17</v>
      </c>
      <c r="E22" s="39">
        <f>(Budget!G6*0.85)-(Budget!G33*1.05)-Budget!G37</f>
        <v>-279.63987928193092</v>
      </c>
      <c r="F22" s="40">
        <f>(Budget!G6*0.9)-(Budget!G33*1.05)-Budget!G37</f>
        <v>-168.33987928193073</v>
      </c>
      <c r="G22" s="40">
        <f>(Budget!G6*0.95)-(Budget!G33*1.05)-Budget!G37</f>
        <v>-57.039879281931007</v>
      </c>
      <c r="H22" s="40">
        <f>Budget!G6-(Budget!G33*1.05)-Budget!G37</f>
        <v>54.260120718069174</v>
      </c>
      <c r="I22" s="40">
        <f>(Budget!G6*1.05)-(Budget!G33*1.05)-Budget!G37</f>
        <v>165.56012071806936</v>
      </c>
      <c r="J22" s="40">
        <f>(Budget!G6*1.1)-(Budget!G33*1.05)-Budget!G37</f>
        <v>276.86012071806954</v>
      </c>
      <c r="K22" s="41">
        <f>(Budget!G6*1.15)-(Budget!G33*1.05)-Budget!G37</f>
        <v>388.16012071806881</v>
      </c>
    </row>
    <row r="23" spans="2:11" ht="16.5" customHeight="1">
      <c r="B23" s="142"/>
      <c r="C23" s="4"/>
      <c r="D23" s="35" t="s">
        <v>16</v>
      </c>
      <c r="E23" s="39">
        <f>(Budget!G6*0.85)-(Budget!G33*1.1)-Budget!G37</f>
        <v>-341.49492094859761</v>
      </c>
      <c r="F23" s="40">
        <f>(Budget!G6*0.9)-(Budget!G33*1.1)-Budget!G37</f>
        <v>-230.19492094859743</v>
      </c>
      <c r="G23" s="40">
        <f>(Budget!G6*0.95)-(Budget!G33*1.1)-Budget!G37</f>
        <v>-118.8949209485977</v>
      </c>
      <c r="H23" s="40">
        <f>Budget!G6-(Budget!G33*1.1)-Budget!G37</f>
        <v>-7.5949209485975189</v>
      </c>
      <c r="I23" s="40">
        <f>(Budget!G6*1.05)-(Budget!G33*1.1)-Budget!G37</f>
        <v>103.70507905140266</v>
      </c>
      <c r="J23" s="40">
        <f>(Budget!G6*1.1)-(Budget!G33*1.1)-Budget!G37</f>
        <v>215.00507905140284</v>
      </c>
      <c r="K23" s="41">
        <f>(Budget!G6*1.15)-(Budget!G33*1.1)-Budget!G37</f>
        <v>326.30507905140212</v>
      </c>
    </row>
    <row r="24" spans="2:11" ht="16.5" customHeight="1">
      <c r="B24" s="143"/>
      <c r="C24" s="18"/>
      <c r="D24" s="43" t="s">
        <v>15</v>
      </c>
      <c r="E24" s="44">
        <f>(Budget!G6*0.85)-(Budget!G33*1.15)-Budget!G37</f>
        <v>-403.34996261526408</v>
      </c>
      <c r="F24" s="45">
        <f>(Budget!G6*0.9)-(Budget!G33*1.15)-Budget!G37</f>
        <v>-292.04996261526389</v>
      </c>
      <c r="G24" s="45">
        <f>(Budget!G6*0.95)-(Budget!G33*1.15)-Budget!G37</f>
        <v>-180.74996261526417</v>
      </c>
      <c r="H24" s="45">
        <f>Budget!G6-(Budget!G33*1.15)-Budget!G37</f>
        <v>-69.449962615263985</v>
      </c>
      <c r="I24" s="45">
        <f>(Budget!G6*1.05)-(Budget!G33*1.15)-Budget!G37</f>
        <v>41.850037384736197</v>
      </c>
      <c r="J24" s="45">
        <f>(Budget!G6*1.1)-(Budget!G33*1.15)-Budget!G37</f>
        <v>153.15003738473638</v>
      </c>
      <c r="K24" s="46">
        <f>(Budget!G6*1.15)-(Budget!G33*1.15)-Budget!G37</f>
        <v>264.45003738473565</v>
      </c>
    </row>
    <row r="25" spans="2:11" ht="9" hidden="1" customHeight="1"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2:11" ht="14.45" hidden="1" customHeight="1"/>
    <row r="28" spans="2:11" ht="32.1" hidden="1" customHeight="1"/>
    <row r="29" spans="2:11" ht="15.75" hidden="1">
      <c r="B29" s="136"/>
      <c r="C29" s="136"/>
      <c r="D29" s="136"/>
      <c r="E29" s="136"/>
      <c r="F29" s="136"/>
      <c r="G29" s="136"/>
      <c r="H29" s="136"/>
      <c r="I29" s="136"/>
      <c r="J29" s="136"/>
      <c r="K29" s="136"/>
    </row>
    <row r="30" spans="2:11" ht="15.75" hidden="1">
      <c r="B30" s="136"/>
      <c r="C30" s="136"/>
      <c r="D30" s="136"/>
      <c r="E30" s="136"/>
      <c r="F30" s="136"/>
      <c r="G30" s="136"/>
      <c r="H30" s="136"/>
      <c r="I30" s="136"/>
      <c r="J30" s="136"/>
      <c r="K30" s="136"/>
    </row>
    <row r="31" spans="2:11" ht="15.75" hidden="1"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2:11" ht="15.75" hidden="1">
      <c r="G32" s="33"/>
      <c r="H32" s="33"/>
      <c r="I32" s="33"/>
      <c r="J32" s="33"/>
      <c r="K32" s="33"/>
    </row>
    <row r="33" spans="7:11" ht="15.75" hidden="1">
      <c r="G33" s="33"/>
      <c r="H33" s="33"/>
      <c r="I33" s="33"/>
      <c r="J33" s="33"/>
      <c r="K33" s="33"/>
    </row>
    <row r="34" spans="7:11" ht="15.75" hidden="1">
      <c r="G34" s="33"/>
      <c r="H34" s="33"/>
      <c r="I34" s="33"/>
      <c r="J34" s="33"/>
      <c r="K34" s="33"/>
    </row>
    <row r="35" spans="7:11" ht="15.75" hidden="1">
      <c r="G35" s="33"/>
      <c r="H35" s="33"/>
      <c r="I35" s="33"/>
      <c r="J35" s="33"/>
      <c r="K35" s="33"/>
    </row>
    <row r="36" spans="7:11" ht="15.75" hidden="1">
      <c r="G36" s="33"/>
      <c r="H36" s="33"/>
      <c r="I36" s="33"/>
      <c r="J36" s="33"/>
      <c r="K36" s="33"/>
    </row>
  </sheetData>
  <sheetProtection sheet="1" objects="1" scenarios="1"/>
  <mergeCells count="10">
    <mergeCell ref="B1:K1"/>
    <mergeCell ref="B14:K14"/>
    <mergeCell ref="B29:K29"/>
    <mergeCell ref="B30:K30"/>
    <mergeCell ref="B6:B12"/>
    <mergeCell ref="E16:K16"/>
    <mergeCell ref="B18:B24"/>
    <mergeCell ref="B2:K2"/>
    <mergeCell ref="B15:K15"/>
    <mergeCell ref="E3:K3"/>
  </mergeCells>
  <conditionalFormatting sqref="E6:K12">
    <cfRule type="cellIs" dxfId="1" priority="2" operator="lessThan">
      <formula>0</formula>
    </cfRule>
  </conditionalFormatting>
  <conditionalFormatting sqref="E18:K24">
    <cfRule type="cellIs" dxfId="0" priority="1" operator="lessThan">
      <formula>0</formula>
    </cfRule>
  </conditionalFormatting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aba0f-363c-487a-9eab-504fb0ae0068">
      <Terms xmlns="http://schemas.microsoft.com/office/infopath/2007/PartnerControls"/>
    </lcf76f155ced4ddcb4097134ff3c332f>
    <TaxCatchAll xmlns="3cf54786-5cbe-4eed-9d82-be7bae5798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72BA2EC307A4F840456AFB3F4BF30" ma:contentTypeVersion="15" ma:contentTypeDescription="Create a new document." ma:contentTypeScope="" ma:versionID="e7135de11d12d073d7a6ede4b04666d3">
  <xsd:schema xmlns:xsd="http://www.w3.org/2001/XMLSchema" xmlns:xs="http://www.w3.org/2001/XMLSchema" xmlns:p="http://schemas.microsoft.com/office/2006/metadata/properties" xmlns:ns2="afeaba0f-363c-487a-9eab-504fb0ae0068" xmlns:ns3="3cf54786-5cbe-4eed-9d82-be7bae57988e" targetNamespace="http://schemas.microsoft.com/office/2006/metadata/properties" ma:root="true" ma:fieldsID="153500833204045ca796943900e2c449" ns2:_="" ns3:_="">
    <xsd:import namespace="afeaba0f-363c-487a-9eab-504fb0ae0068"/>
    <xsd:import namespace="3cf54786-5cbe-4eed-9d82-be7bae579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ba0f-363c-487a-9eab-504fb0ae0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54786-5cbe-4eed-9d82-be7bae5798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60828-92f4-433d-b2dd-f0bd0e5db71c}" ma:internalName="TaxCatchAll" ma:showField="CatchAllData" ma:web="3cf54786-5cbe-4eed-9d82-be7bae579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28324-32A9-4154-8247-D3B1E0DB2445}">
  <ds:schemaRefs>
    <ds:schemaRef ds:uri="http://schemas.microsoft.com/office/2006/metadata/properties"/>
    <ds:schemaRef ds:uri="http://schemas.microsoft.com/office/infopath/2007/PartnerControls"/>
    <ds:schemaRef ds:uri="afeaba0f-363c-487a-9eab-504fb0ae0068"/>
    <ds:schemaRef ds:uri="3cf54786-5cbe-4eed-9d82-be7bae57988e"/>
  </ds:schemaRefs>
</ds:datastoreItem>
</file>

<file path=customXml/itemProps2.xml><?xml version="1.0" encoding="utf-8"?>
<ds:datastoreItem xmlns:ds="http://schemas.openxmlformats.org/officeDocument/2006/customXml" ds:itemID="{803F0A06-9F9F-49EF-8C3D-05FBF50BA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C5FB2E-A975-4361-AC71-F1F257ACC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aba0f-363c-487a-9eab-504fb0ae0068"/>
    <ds:schemaRef ds:uri="3cf54786-5cbe-4eed-9d82-be7bae579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Introduction</vt:lpstr>
      <vt:lpstr>Budget</vt:lpstr>
      <vt:lpstr>Financial Sensitivity</vt:lpstr>
      <vt:lpstr>Budget!Print_Area</vt:lpstr>
      <vt:lpstr>'Financial Sensitivity'!Print_Area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Kruse</dc:creator>
  <cp:keywords/>
  <dc:description/>
  <cp:lastModifiedBy>Kientzy, Andrew</cp:lastModifiedBy>
  <cp:revision/>
  <cp:lastPrinted>2025-08-08T18:50:14Z</cp:lastPrinted>
  <dcterms:created xsi:type="dcterms:W3CDTF">2020-07-30T17:48:44Z</dcterms:created>
  <dcterms:modified xsi:type="dcterms:W3CDTF">2025-09-02T13:34:56Z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0x010100CE272BA2EC307A4F840456AFB3F4BF30</vt:lpwstr>
  </property>
  <property fmtid="{D5CDD505-2E9C-101B-9397-08002B2CF9AE}" pid="3" name="MediaServiceImageTags">
    <vt:lpwstr/>
  </property>
</Properties>
</file>