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ailmissouri-my.sharepoint.com/personal/jacksonla_umsystem_edu/Documents/Desktop/Desktop 3-28/Website/FruitsandVeggies Project/New spreadsheets Sept 2025/"/>
    </mc:Choice>
  </mc:AlternateContent>
  <xr:revisionPtr revIDLastSave="880" documentId="8_{17EA8F40-1BFD-4775-B660-129718E3041E}" xr6:coauthVersionLast="47" xr6:coauthVersionMax="47" xr10:uidLastSave="{A129E6EB-30B8-4B0C-9879-3E376D7FF7B4}"/>
  <workbookProtection lockStructure="1"/>
  <bookViews>
    <workbookView xWindow="5064" yWindow="840" windowWidth="17328" windowHeight="10296" xr2:uid="{50691399-9F51-4DAE-88E6-4D51F075FBD5}"/>
  </bookViews>
  <sheets>
    <sheet name="Introduction" sheetId="3" r:id="rId1"/>
    <sheet name="Budget" sheetId="1" r:id="rId2"/>
    <sheet name="Financial Sensitivity" sheetId="4" r:id="rId3"/>
  </sheets>
  <externalReferences>
    <externalReference r:id="rId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Budget!$B$2:$V$39</definedName>
    <definedName name="_xlnm.Print_Area" localSheetId="2">'Financial Sensitivity'!$B$1:$K$49</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H5" i="4"/>
  <c r="V27" i="1" l="1"/>
  <c r="V26" i="1"/>
  <c r="S27" i="1"/>
  <c r="S26" i="1"/>
  <c r="P27" i="1"/>
  <c r="P26" i="1"/>
  <c r="M27" i="1"/>
  <c r="J27" i="1"/>
  <c r="G27" i="1"/>
  <c r="V11" i="1"/>
  <c r="S11" i="1"/>
  <c r="P11" i="1"/>
  <c r="V12" i="1"/>
  <c r="S12" i="1"/>
  <c r="P12" i="1"/>
  <c r="M12" i="1"/>
  <c r="J12" i="1"/>
  <c r="G12" i="1"/>
  <c r="G11" i="1"/>
  <c r="V19" i="1"/>
  <c r="S19" i="1"/>
  <c r="P19" i="1"/>
  <c r="M19" i="1"/>
  <c r="J19" i="1"/>
  <c r="G19" i="1"/>
  <c r="G18" i="1"/>
  <c r="V17" i="1"/>
  <c r="S17" i="1"/>
  <c r="V18" i="1"/>
  <c r="S18" i="1"/>
  <c r="P18" i="1"/>
  <c r="M18" i="1"/>
  <c r="J18" i="1"/>
  <c r="V10" i="1"/>
  <c r="S10" i="1"/>
  <c r="P10" i="1"/>
  <c r="M10" i="1"/>
  <c r="J10" i="1"/>
  <c r="G10" i="1"/>
  <c r="V20" i="1"/>
  <c r="V25" i="1"/>
  <c r="V24" i="1"/>
  <c r="S20" i="1"/>
  <c r="S25" i="1"/>
  <c r="S24" i="1"/>
  <c r="P24" i="1"/>
  <c r="V33" i="1"/>
  <c r="S33" i="1"/>
  <c r="P33" i="1"/>
  <c r="M33" i="1"/>
  <c r="J33" i="1"/>
  <c r="G33" i="1"/>
  <c r="V32" i="1"/>
  <c r="S32" i="1"/>
  <c r="P32" i="1"/>
  <c r="M32" i="1"/>
  <c r="J32" i="1"/>
  <c r="G32" i="1"/>
  <c r="V31" i="1"/>
  <c r="S31" i="1"/>
  <c r="P31" i="1"/>
  <c r="M31" i="1"/>
  <c r="J31" i="1"/>
  <c r="G31" i="1"/>
  <c r="V9" i="1"/>
  <c r="V22" i="1" s="1"/>
  <c r="S9" i="1"/>
  <c r="S22" i="1" s="1"/>
  <c r="G9" i="1"/>
  <c r="S35" i="1" l="1"/>
  <c r="V35" i="1"/>
  <c r="S5" i="1" l="1"/>
  <c r="V5" i="1"/>
  <c r="V6" i="1" s="1"/>
  <c r="I5" i="4"/>
  <c r="U28" i="1" l="1"/>
  <c r="V28" i="1" s="1"/>
  <c r="J5" i="4"/>
  <c r="K5" i="4"/>
  <c r="G5" i="4"/>
  <c r="F5" i="4"/>
  <c r="E5" i="4"/>
  <c r="D8" i="4"/>
  <c r="D10" i="4"/>
  <c r="D11" i="4"/>
  <c r="D7" i="4"/>
  <c r="D12" i="4"/>
  <c r="D6" i="4"/>
  <c r="P35" i="1" l="1"/>
  <c r="M35" i="1"/>
  <c r="J35" i="1"/>
  <c r="G35" i="1"/>
  <c r="M26" i="1" l="1"/>
  <c r="J26" i="1"/>
  <c r="P20" i="1"/>
  <c r="P25" i="1"/>
  <c r="M20" i="1"/>
  <c r="M25" i="1"/>
  <c r="M24" i="1"/>
  <c r="J20" i="1"/>
  <c r="J25" i="1"/>
  <c r="J24" i="1"/>
  <c r="G20" i="1"/>
  <c r="G25" i="1"/>
  <c r="G24" i="1"/>
  <c r="P17" i="1"/>
  <c r="M17" i="1"/>
  <c r="J17" i="1"/>
  <c r="G17" i="1"/>
  <c r="G22" i="1" s="1"/>
  <c r="M11" i="1"/>
  <c r="J11" i="1"/>
  <c r="P9" i="1"/>
  <c r="P22" i="1" s="1"/>
  <c r="M9" i="1"/>
  <c r="M22" i="1" s="1"/>
  <c r="J9" i="1"/>
  <c r="J22" i="1" s="1"/>
  <c r="P5" i="1"/>
  <c r="M5" i="1"/>
  <c r="J5" i="1"/>
  <c r="G5" i="1"/>
  <c r="S6" i="1" s="1"/>
  <c r="R28" i="1" s="1"/>
  <c r="S28" i="1" s="1"/>
  <c r="G26" i="1" l="1"/>
  <c r="P6" i="1"/>
  <c r="M6" i="1"/>
  <c r="J6" i="1"/>
  <c r="G6" i="1"/>
  <c r="I28" i="1" l="1"/>
  <c r="J28" i="1" s="1"/>
  <c r="O28" i="1"/>
  <c r="L28" i="1"/>
  <c r="M28" i="1" s="1"/>
  <c r="F28" i="1"/>
  <c r="G28" i="1" s="1"/>
  <c r="P28" i="1" l="1"/>
  <c r="P29" i="1" s="1"/>
  <c r="G29" i="1"/>
  <c r="G36" i="1" s="1"/>
  <c r="M29" i="1"/>
  <c r="M36" i="1" s="1"/>
  <c r="M38" i="1" s="1"/>
  <c r="J29" i="1" l="1"/>
  <c r="J37" i="1" s="1"/>
  <c r="G38" i="1"/>
  <c r="G37" i="1"/>
  <c r="P36" i="1"/>
  <c r="P38" i="1" s="1"/>
  <c r="M37" i="1"/>
  <c r="P37" i="1"/>
  <c r="J36" i="1" l="1"/>
  <c r="J38" i="1" s="1"/>
  <c r="S29" i="1"/>
  <c r="S36" i="1" s="1"/>
  <c r="S38" i="1" s="1"/>
  <c r="S37" i="1" l="1"/>
  <c r="V29" i="1"/>
  <c r="K19" i="4" l="1"/>
  <c r="J24" i="4"/>
  <c r="J21" i="4"/>
  <c r="I18" i="4"/>
  <c r="G24" i="4"/>
  <c r="F18" i="4"/>
  <c r="H22" i="4"/>
  <c r="G20" i="4"/>
  <c r="I22" i="4"/>
  <c r="F20" i="4"/>
  <c r="J18" i="4"/>
  <c r="I23" i="4"/>
  <c r="K20" i="4"/>
  <c r="K22" i="4"/>
  <c r="F23" i="4"/>
  <c r="E22" i="4"/>
  <c r="H24" i="4"/>
  <c r="K23" i="4"/>
  <c r="H19" i="4"/>
  <c r="E21" i="4"/>
  <c r="I20" i="4"/>
  <c r="J20" i="4"/>
  <c r="K21" i="4"/>
  <c r="J22" i="4"/>
  <c r="G18" i="4"/>
  <c r="G22" i="4"/>
  <c r="G23" i="4"/>
  <c r="J23" i="4"/>
  <c r="H20" i="4"/>
  <c r="E20" i="4"/>
  <c r="F19" i="4"/>
  <c r="K18" i="4"/>
  <c r="K24" i="4"/>
  <c r="I21" i="4"/>
  <c r="E24" i="4"/>
  <c r="F21" i="4"/>
  <c r="F22" i="4"/>
  <c r="I24" i="4"/>
  <c r="H18" i="4"/>
  <c r="G21" i="4"/>
  <c r="H23" i="4"/>
  <c r="F24" i="4"/>
  <c r="G19" i="4"/>
  <c r="I19" i="4"/>
  <c r="H21" i="4"/>
  <c r="J19" i="4"/>
  <c r="E23" i="4"/>
  <c r="V37" i="1"/>
  <c r="V36" i="1"/>
  <c r="E19" i="4"/>
  <c r="E18" i="4"/>
  <c r="V38" i="1" l="1"/>
  <c r="H9" i="4"/>
  <c r="I9" i="4"/>
  <c r="F9" i="4"/>
  <c r="E12" i="4"/>
  <c r="G8" i="4"/>
  <c r="H10" i="4"/>
  <c r="F11" i="4"/>
  <c r="E8" i="4"/>
  <c r="K12" i="4"/>
  <c r="K9" i="4"/>
  <c r="G12" i="4"/>
  <c r="K8" i="4"/>
  <c r="I12" i="4"/>
  <c r="J9" i="4"/>
  <c r="I6" i="4"/>
  <c r="H7" i="4"/>
  <c r="G7" i="4"/>
  <c r="K6" i="4"/>
  <c r="J6" i="4"/>
  <c r="F6" i="4"/>
  <c r="I7" i="4"/>
  <c r="E11" i="4"/>
  <c r="K11" i="4"/>
  <c r="J11" i="4"/>
  <c r="G10" i="4"/>
  <c r="G11" i="4"/>
  <c r="I10" i="4"/>
  <c r="H12" i="4"/>
  <c r="F8" i="4"/>
  <c r="E9" i="4"/>
  <c r="F12" i="4"/>
  <c r="I8" i="4"/>
  <c r="G9" i="4"/>
  <c r="E7" i="4"/>
  <c r="E6" i="4"/>
  <c r="J7" i="4"/>
  <c r="K7" i="4"/>
  <c r="F7" i="4"/>
  <c r="G6" i="4"/>
  <c r="K10" i="4"/>
  <c r="J10" i="4"/>
  <c r="F10" i="4"/>
  <c r="E10" i="4"/>
  <c r="I11" i="4"/>
  <c r="H11" i="4"/>
  <c r="J8" i="4"/>
  <c r="J12" i="4"/>
  <c r="H8" i="4"/>
  <c r="H6" i="4"/>
  <c r="E37" i="4" l="1"/>
  <c r="E36" i="4"/>
  <c r="E38" i="4"/>
</calcChain>
</file>

<file path=xl/sharedStrings.xml><?xml version="1.0" encoding="utf-8"?>
<sst xmlns="http://schemas.openxmlformats.org/spreadsheetml/2006/main" count="165" uniqueCount="96">
  <si>
    <t>Updated: 1/2025</t>
  </si>
  <si>
    <t>This worksheet is for educational purposes only and the user assumes all risks associated with its use.</t>
  </si>
  <si>
    <t>Revenue</t>
  </si>
  <si>
    <t>Unit</t>
  </si>
  <si>
    <t>Price
per unit</t>
  </si>
  <si>
    <t xml:space="preserve"> Quantity</t>
  </si>
  <si>
    <t>Dollars 
per acre</t>
  </si>
  <si>
    <t>Dollars
per acre</t>
  </si>
  <si>
    <t>each</t>
  </si>
  <si>
    <t>soil test</t>
  </si>
  <si>
    <t>acre</t>
  </si>
  <si>
    <t xml:space="preserve">  Fertilizer/lime</t>
  </si>
  <si>
    <t>pound</t>
  </si>
  <si>
    <t xml:space="preserve">  Fungicides</t>
  </si>
  <si>
    <t xml:space="preserve">  Insecticides</t>
  </si>
  <si>
    <t xml:space="preserve">  Herbicides</t>
  </si>
  <si>
    <t xml:space="preserve">  Drip tape</t>
  </si>
  <si>
    <t>feet</t>
  </si>
  <si>
    <t xml:space="preserve">    Marketing </t>
  </si>
  <si>
    <t>percent</t>
  </si>
  <si>
    <t xml:space="preserve">  Land</t>
  </si>
  <si>
    <t>Total costs</t>
  </si>
  <si>
    <t>Return over total costs</t>
  </si>
  <si>
    <t>Net present value of net returns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</si>
  <si>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</si>
  <si>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</si>
  <si>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</si>
  <si>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</si>
  <si>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</si>
  <si>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</si>
  <si>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</si>
  <si>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</si>
  <si>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</si>
  <si>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</si>
  <si>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</si>
  <si>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</si>
  <si>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</si>
  <si>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</si>
  <si>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20% more</t>
  </si>
  <si>
    <t>30% more</t>
  </si>
  <si>
    <t>20% less</t>
  </si>
  <si>
    <t>30% less</t>
  </si>
  <si>
    <t>Required rate of return</t>
  </si>
  <si>
    <t xml:space="preserve">  NPV years 1-10</t>
  </si>
  <si>
    <t xml:space="preserve">  NPV years 1-15</t>
  </si>
  <si>
    <t xml:space="preserve">Will this business be profitable? Explore profitability with net present values and average returns per year. </t>
  </si>
  <si>
    <t>Develop a customized budget by adjusting the assumptions in gray cells to match the management practices and expected yields and prices for your farm.</t>
  </si>
  <si>
    <t xml:space="preserve">Explore estimated annual per acre returns over total costs under varying revenue and cost scenarios in full production. </t>
  </si>
  <si>
    <t>% of sales</t>
  </si>
  <si>
    <t xml:space="preserve">Budget created by Peter Zimmel, Food and Agricultural Policy Institute (FAPRI). Prices were updated January 2025. Access online at muext.us/MissouriAgBudgets. </t>
  </si>
  <si>
    <t xml:space="preserve">Peach Enterprise Budget for Missouri </t>
  </si>
  <si>
    <t xml:space="preserve">  Peach trees</t>
  </si>
  <si>
    <t xml:space="preserve">  Irrigation</t>
  </si>
  <si>
    <t xml:space="preserve">  Refrigeration</t>
  </si>
  <si>
    <t xml:space="preserve">  Machinery and equipment</t>
  </si>
  <si>
    <t xml:space="preserve">  Tree guards</t>
  </si>
  <si>
    <t xml:space="preserve">    Bags</t>
  </si>
  <si>
    <t>month</t>
  </si>
  <si>
    <t xml:space="preserve">  Soil test</t>
  </si>
  <si>
    <t xml:space="preserve">  Pollination</t>
  </si>
  <si>
    <t xml:space="preserve">  Grass seed</t>
  </si>
  <si>
    <t xml:space="preserve">    Operator labor</t>
  </si>
  <si>
    <t xml:space="preserve">  General labor</t>
  </si>
  <si>
    <t xml:space="preserve">  Mach. fuel/repairs/maintenance</t>
  </si>
  <si>
    <t xml:space="preserve">    Harvest labor</t>
  </si>
  <si>
    <t xml:space="preserve">    Refrigeration </t>
  </si>
  <si>
    <t xml:space="preserve">Preharvest </t>
  </si>
  <si>
    <t>Harvest</t>
  </si>
  <si>
    <t xml:space="preserve">  Interest on operating capital</t>
  </si>
  <si>
    <t>day</t>
  </si>
  <si>
    <t>Price per bushel</t>
  </si>
  <si>
    <r>
      <rPr>
        <b/>
        <sz val="12"/>
        <color theme="1"/>
        <rFont val="Aptos"/>
        <family val="2"/>
        <scheme val="minor"/>
      </rPr>
      <t xml:space="preserve">The required rate of return </t>
    </r>
    <r>
      <rPr>
        <sz val="12"/>
        <color theme="1"/>
        <rFont val="Aptos"/>
        <family val="2"/>
        <scheme val="minor"/>
      </rPr>
      <t>reflects</t>
    </r>
    <r>
      <rPr>
        <b/>
        <sz val="12"/>
        <color theme="1"/>
        <rFont val="Aptos"/>
        <family val="2"/>
        <scheme val="minor"/>
      </rPr>
      <t xml:space="preserve"> </t>
    </r>
    <r>
      <rPr>
        <sz val="12"/>
        <color theme="1"/>
        <rFont val="Aptos"/>
        <family val="2"/>
        <scheme val="minor"/>
      </rPr>
      <t xml:space="preserve">the opportunity cost of capital, the desired rate of return, riskiness of the investment and allows you to compare potential financial performance of investing in an peach orchard to other investments. It is used to calculate a discount rate in the NPV formula which also accounts for the time value of money (assuming inflation continues - dollars received in the future are worth less than dollars received today). </t>
    </r>
  </si>
  <si>
    <t>This budget models a 1-acre open field production of peaches from establishment through 3 years of production. During the seventh year after planting, this perennial crop is assumed to reach full yield potential. Continual production is modeled through 15 years to discuss average returns per year and net present value of returns.</t>
  </si>
  <si>
    <t>Peach Enterprise Budget</t>
  </si>
  <si>
    <t xml:space="preserve"> Peach sales</t>
  </si>
  <si>
    <t>bushel</t>
  </si>
  <si>
    <t>hour</t>
  </si>
  <si>
    <t>Bushels per acre</t>
  </si>
  <si>
    <t xml:space="preserve">  NPV years 1-9</t>
  </si>
  <si>
    <t>Average Returns Per Year and Net Present Values in Years 9, 10 and 15</t>
  </si>
  <si>
    <r>
      <t>The</t>
    </r>
    <r>
      <rPr>
        <b/>
        <sz val="12"/>
        <color theme="1"/>
        <rFont val="Aptos"/>
        <family val="2"/>
        <scheme val="minor"/>
      </rPr>
      <t xml:space="preserve"> Net Present Value of net returns (NPV)</t>
    </r>
    <r>
      <rPr>
        <sz val="12"/>
        <color theme="1"/>
        <rFont val="Aptos"/>
        <family val="2"/>
        <scheme val="minor"/>
      </rPr>
      <t xml:space="preserve"> calculates the value of expected cash flows after subtracting intial investment costs over a period discounted to the present. Positive NPVs indicate the business is profitable. For example based on the existing model assumptions, 15 years after establishment the peach orchard is expected to return $12,333.27 in today's dollars factoring in a 6% required rate of return.</t>
    </r>
  </si>
  <si>
    <r>
      <rPr>
        <b/>
        <sz val="12"/>
        <color theme="1"/>
        <rFont val="Aptos"/>
        <family val="2"/>
        <scheme val="minor"/>
      </rPr>
      <t>Breakeven:</t>
    </r>
    <r>
      <rPr>
        <sz val="12"/>
        <color theme="1"/>
        <rFont val="Aptos"/>
        <family val="2"/>
        <scheme val="minor"/>
      </rPr>
      <t xml:space="preserve"> The modeled 1 acre peach farm is expected to 'breakeven' (cover investment and operating costs) in year 9 (NPV becomes positive). </t>
    </r>
  </si>
  <si>
    <t>Year 1 
site preparation</t>
  </si>
  <si>
    <t>Year 2 
planting year</t>
  </si>
  <si>
    <t>Year 3 &amp; 4 
growing years</t>
  </si>
  <si>
    <t>Year 5
 first bearing year</t>
  </si>
  <si>
    <t>Year 6
 second bearing year</t>
  </si>
  <si>
    <t>Year 7
 third bearing year</t>
  </si>
  <si>
    <t>Explore annual profitability expectations (per acre returns over total costs) under varying yield and price scenarios in full production and holding costs constant. Modify gray cells for further exploration.</t>
  </si>
  <si>
    <t xml:space="preserve">For budget questions, contact: </t>
  </si>
  <si>
    <t>Ryan Milhollin, MU Extension</t>
  </si>
  <si>
    <t xml:space="preserve">For horticulture expertise, contact: </t>
  </si>
  <si>
    <t>MU Commercial Horticulture Team</t>
  </si>
  <si>
    <t>Developed by: Peter Zimmel, FAPRI</t>
  </si>
  <si>
    <t>Peach Orchard Operating Costs and Revenue Sensitivity Table</t>
  </si>
  <si>
    <t>Peach Orchard Price and Yield Sensitivity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</si>
</sst>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44" formatCode="_(&quot;$&quot;* #,##0.00_);_(&quot;$&quot;* \(#,##0.00\);_(&quot;$&quot;* &quot;-&quot;??_);_(@_)"/>
    <numFmt numFmtId="164" formatCode="&quot;$&quot;#,##0.00"/>
    <numFmt numFmtId="165" formatCode="0.0"/>
    <numFmt numFmtId="166" formatCode="#,##0.0"/>
  </numFmts>
  <fonts count="27" x14ac:knownFonts="1">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u/>
      <sz val="11"/>
      <color theme="1"/>
      <name val="Palatino Linotype"/>
      <family val="1"/>
    </font>
    <font>
      <b/>
      <sz val="12"/>
      <color theme="1"/>
      <name val="Aptos"/>
      <family val="2"/>
      <scheme val="minor"/>
    </font>
    <font>
      <b/>
      <sz val="12"/>
      <color rgb="FFFDB719"/>
      <name val="Aptos Black"/>
      <family val="2"/>
      <scheme val="major"/>
    </font>
    <font>
      <b/>
      <sz val="11"/>
      <name val="Aptos"/>
      <family val="2"/>
      <scheme val="minor"/>
    </font>
    <font>
      <u/>
      <sz val="11"/>
      <color theme="1"/>
      <name val="Aptos"/>
      <family val="2"/>
      <scheme val="minor"/>
    </font>
    <font>
      <sz val="10"/>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u/>
      <sz val="12"/>
      <color theme="1"/>
      <name val="Aptos"/>
      <family val="2"/>
      <scheme val="minor"/>
    </font>
    <font>
      <b/>
      <sz val="12"/>
      <color rgb="FF3F3F3F"/>
      <name val="Aptos"/>
      <family val="2"/>
      <scheme val="minor"/>
    </font>
    <font>
      <sz val="12"/>
      <color theme="1"/>
      <name val="Palatino Linotype"/>
      <family val="1"/>
    </font>
    <font>
      <b/>
      <sz val="12"/>
      <name val="Aptos"/>
      <family val="2"/>
      <scheme val="minor"/>
    </font>
    <font>
      <i/>
      <sz val="12"/>
      <color theme="1"/>
      <name val="Aptos"/>
      <family val="2"/>
      <scheme val="minor"/>
    </font>
    <font>
      <sz val="12"/>
      <name val="Aptos"/>
      <family val="2"/>
      <scheme val="minor"/>
    </font>
    <font>
      <b/>
      <sz val="12"/>
      <color rgb="FFF1B82D"/>
      <name val="Aptos"/>
      <family val="2"/>
      <scheme val="minor"/>
    </font>
    <font>
      <sz val="16"/>
      <color rgb="FFFDB719"/>
      <name val="Aptos Black"/>
      <family val="2"/>
      <scheme val="major"/>
    </font>
    <font>
      <b/>
      <sz val="16"/>
      <color rgb="FFF1B82D"/>
      <name val="Aptos Black"/>
      <family val="2"/>
      <scheme val="major"/>
    </font>
    <font>
      <u/>
      <sz val="12"/>
      <name val="Aptos"/>
      <family val="2"/>
      <scheme val="minor"/>
    </font>
    <font>
      <b/>
      <sz val="12"/>
      <color rgb="FFF1B82D"/>
      <name val="Aptos Black"/>
      <family val="2"/>
      <scheme val="major"/>
    </font>
    <font>
      <u/>
      <sz val="11"/>
      <color theme="10"/>
      <name val="Aptos"/>
      <family val="2"/>
      <scheme val="minor"/>
    </font>
    <font>
      <b/>
      <u/>
      <sz val="12"/>
      <color theme="10"/>
      <name val="Aptos"/>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s>
  <borders count="28">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6">
    <xf numFmtId="0" fontId="0" fillId="0" borderId="0"/>
    <xf numFmtId="9" fontId="1" fillId="0" borderId="0" applyFont="0" applyFill="0" applyBorder="0" applyAlignment="0" applyProtection="0"/>
    <xf numFmtId="0" fontId="10" fillId="4" borderId="4" applyNumberFormat="0" applyAlignment="0" applyProtection="0"/>
    <xf numFmtId="0" fontId="1" fillId="0" borderId="0"/>
    <xf numFmtId="44" fontId="1" fillId="0" borderId="0" applyFont="0" applyFill="0" applyBorder="0" applyAlignment="0" applyProtection="0"/>
    <xf numFmtId="0" fontId="25" fillId="0" borderId="0" applyNumberFormat="0" applyFill="0" applyBorder="0" applyAlignment="0" applyProtection="0"/>
  </cellStyleXfs>
  <cellXfs count="148">
    <xf numFmtId="0" fontId="0" fillId="0" borderId="0" xfId="0"/>
    <xf numFmtId="0" fontId="2" fillId="0" borderId="0" xfId="0" applyFont="1"/>
    <xf numFmtId="0" fontId="5" fillId="0" borderId="0" xfId="0" applyFont="1"/>
    <xf numFmtId="0" fontId="11" fillId="5" borderId="0" xfId="0" applyFont="1" applyFill="1"/>
    <xf numFmtId="0" fontId="11" fillId="0" borderId="0" xfId="0" applyFont="1"/>
    <xf numFmtId="0" fontId="0" fillId="5" borderId="0" xfId="0" applyFill="1"/>
    <xf numFmtId="0" fontId="3" fillId="5" borderId="0" xfId="0" applyFont="1" applyFill="1" applyAlignment="1">
      <alignment horizontal="left" indent="4"/>
    </xf>
    <xf numFmtId="0" fontId="13" fillId="5" borderId="0" xfId="0" applyFont="1" applyFill="1"/>
    <xf numFmtId="0" fontId="13" fillId="0" borderId="0" xfId="0" applyFont="1"/>
    <xf numFmtId="0" fontId="13" fillId="0" borderId="0" xfId="0" applyFont="1" applyAlignment="1">
      <alignment wrapText="1"/>
    </xf>
    <xf numFmtId="0" fontId="0" fillId="0" borderId="0" xfId="0" applyAlignment="1">
      <alignment wrapText="1"/>
    </xf>
    <xf numFmtId="0" fontId="2" fillId="0" borderId="0" xfId="0" applyFont="1" applyAlignment="1">
      <alignment wrapText="1"/>
    </xf>
    <xf numFmtId="9" fontId="0" fillId="0" borderId="0" xfId="1" applyFont="1" applyFill="1" applyBorder="1"/>
    <xf numFmtId="0" fontId="8" fillId="0" borderId="0" xfId="0" applyFont="1"/>
    <xf numFmtId="0" fontId="0" fillId="0" borderId="0" xfId="0" applyAlignment="1">
      <alignment horizontal="right"/>
    </xf>
    <xf numFmtId="164" fontId="0" fillId="0" borderId="0" xfId="0" applyNumberFormat="1"/>
    <xf numFmtId="0" fontId="5" fillId="5" borderId="0" xfId="0" applyFont="1" applyFill="1"/>
    <xf numFmtId="0" fontId="16" fillId="0" borderId="0" xfId="0" applyFont="1"/>
    <xf numFmtId="164" fontId="13" fillId="2" borderId="0" xfId="4" applyNumberFormat="1" applyFont="1" applyFill="1" applyProtection="1">
      <protection locked="0"/>
    </xf>
    <xf numFmtId="166" fontId="13" fillId="2" borderId="0" xfId="0" applyNumberFormat="1" applyFont="1" applyFill="1" applyProtection="1">
      <protection locked="0"/>
    </xf>
    <xf numFmtId="9" fontId="13" fillId="2" borderId="0" xfId="1" applyFont="1" applyFill="1" applyProtection="1">
      <protection locked="0"/>
    </xf>
    <xf numFmtId="10" fontId="13" fillId="2" borderId="0" xfId="0" applyNumberFormat="1" applyFont="1" applyFill="1" applyProtection="1">
      <protection locked="0"/>
    </xf>
    <xf numFmtId="164" fontId="13" fillId="2" borderId="0" xfId="0" applyNumberFormat="1" applyFont="1" applyFill="1" applyProtection="1">
      <protection locked="0"/>
    </xf>
    <xf numFmtId="165" fontId="13" fillId="2" borderId="0" xfId="0" applyNumberFormat="1" applyFont="1" applyFill="1" applyProtection="1">
      <protection locked="0"/>
    </xf>
    <xf numFmtId="164" fontId="13" fillId="2" borderId="2" xfId="0" applyNumberFormat="1" applyFont="1" applyFill="1" applyBorder="1" applyProtection="1">
      <protection locked="0"/>
    </xf>
    <xf numFmtId="0" fontId="13" fillId="2" borderId="0" xfId="0" applyFont="1" applyFill="1" applyProtection="1">
      <protection locked="0"/>
    </xf>
    <xf numFmtId="0" fontId="13" fillId="5" borderId="0" xfId="0" applyFont="1" applyFill="1" applyAlignment="1">
      <alignment horizontal="right"/>
    </xf>
    <xf numFmtId="0" fontId="0" fillId="0" borderId="2" xfId="0" applyBorder="1"/>
    <xf numFmtId="0" fontId="0" fillId="0" borderId="11" xfId="0" applyBorder="1"/>
    <xf numFmtId="7" fontId="13" fillId="2" borderId="21" xfId="4" applyNumberFormat="1" applyFont="1" applyFill="1" applyBorder="1" applyAlignment="1" applyProtection="1">
      <alignment horizontal="center"/>
      <protection locked="0"/>
    </xf>
    <xf numFmtId="0" fontId="13" fillId="3" borderId="16" xfId="0" applyFont="1" applyFill="1" applyBorder="1"/>
    <xf numFmtId="0" fontId="13" fillId="3" borderId="11" xfId="0" applyFont="1" applyFill="1" applyBorder="1"/>
    <xf numFmtId="0" fontId="20" fillId="3" borderId="12" xfId="0" applyFont="1" applyFill="1" applyBorder="1" applyAlignment="1">
      <alignment horizontal="center" textRotation="90"/>
    </xf>
    <xf numFmtId="6" fontId="19" fillId="0" borderId="16" xfId="4" applyNumberFormat="1" applyFont="1" applyBorder="1" applyProtection="1"/>
    <xf numFmtId="6" fontId="19" fillId="0" borderId="11" xfId="4" applyNumberFormat="1" applyFont="1" applyBorder="1" applyProtection="1"/>
    <xf numFmtId="6" fontId="13" fillId="0" borderId="11" xfId="4" applyNumberFormat="1" applyFont="1" applyBorder="1" applyProtection="1"/>
    <xf numFmtId="6" fontId="13" fillId="0" borderId="18" xfId="4" applyNumberFormat="1" applyFont="1" applyBorder="1" applyProtection="1"/>
    <xf numFmtId="0" fontId="19" fillId="5" borderId="12" xfId="0" applyFont="1" applyFill="1" applyBorder="1" applyAlignment="1">
      <alignment horizontal="left" vertical="center"/>
    </xf>
    <xf numFmtId="7" fontId="13" fillId="0" borderId="21" xfId="4" applyNumberFormat="1" applyFont="1" applyBorder="1" applyAlignment="1" applyProtection="1">
      <alignment horizontal="center"/>
    </xf>
    <xf numFmtId="6" fontId="19" fillId="0" borderId="12" xfId="4" applyNumberFormat="1" applyFont="1" applyBorder="1" applyProtection="1"/>
    <xf numFmtId="6" fontId="19" fillId="0" borderId="0" xfId="4" applyNumberFormat="1" applyFont="1" applyBorder="1" applyProtection="1"/>
    <xf numFmtId="6" fontId="13" fillId="0" borderId="0" xfId="4" applyNumberFormat="1" applyFont="1" applyBorder="1" applyProtection="1"/>
    <xf numFmtId="6" fontId="13" fillId="0" borderId="13" xfId="4" applyNumberFormat="1" applyFont="1" applyBorder="1" applyProtection="1"/>
    <xf numFmtId="9" fontId="19" fillId="5" borderId="12" xfId="0" applyNumberFormat="1" applyFont="1" applyFill="1" applyBorder="1" applyAlignment="1">
      <alignment horizontal="left" vertical="center"/>
    </xf>
    <xf numFmtId="6" fontId="13" fillId="0" borderId="20" xfId="4" applyNumberFormat="1" applyFont="1" applyBorder="1" applyProtection="1"/>
    <xf numFmtId="0" fontId="19" fillId="5" borderId="15" xfId="0" applyFont="1" applyFill="1" applyBorder="1" applyAlignment="1">
      <alignment horizontal="left" vertical="center"/>
    </xf>
    <xf numFmtId="7" fontId="13" fillId="0" borderId="22" xfId="4" applyNumberFormat="1" applyFont="1" applyBorder="1" applyAlignment="1" applyProtection="1">
      <alignment horizontal="center"/>
    </xf>
    <xf numFmtId="6" fontId="19" fillId="0" borderId="15" xfId="4" applyNumberFormat="1" applyFont="1" applyBorder="1" applyProtection="1"/>
    <xf numFmtId="6" fontId="19" fillId="0" borderId="2" xfId="4" applyNumberFormat="1" applyFont="1" applyBorder="1" applyProtection="1"/>
    <xf numFmtId="6" fontId="13" fillId="0" borderId="2" xfId="4" applyNumberFormat="1" applyFont="1" applyBorder="1" applyProtection="1"/>
    <xf numFmtId="6" fontId="13" fillId="0" borderId="14" xfId="4" applyNumberFormat="1" applyFont="1" applyBorder="1" applyProtection="1"/>
    <xf numFmtId="0" fontId="13" fillId="3" borderId="26" xfId="0" applyFont="1" applyFill="1" applyBorder="1"/>
    <xf numFmtId="0" fontId="18" fillId="3" borderId="19" xfId="0" applyFont="1" applyFill="1" applyBorder="1"/>
    <xf numFmtId="3" fontId="13" fillId="0" borderId="1" xfId="0" applyNumberFormat="1" applyFont="1" applyBorder="1" applyAlignment="1">
      <alignment horizontal="right"/>
    </xf>
    <xf numFmtId="3" fontId="13" fillId="0" borderId="24" xfId="0" applyNumberFormat="1" applyFont="1" applyBorder="1" applyAlignment="1">
      <alignment horizontal="right"/>
    </xf>
    <xf numFmtId="0" fontId="20" fillId="3" borderId="12" xfId="0" applyFont="1" applyFill="1" applyBorder="1" applyAlignment="1">
      <alignment horizontal="center" vertical="center" textRotation="90"/>
    </xf>
    <xf numFmtId="2" fontId="13" fillId="0" borderId="17" xfId="0" applyNumberFormat="1" applyFont="1" applyBorder="1" applyAlignment="1">
      <alignment horizontal="left"/>
    </xf>
    <xf numFmtId="6" fontId="13" fillId="0" borderId="16" xfId="4" applyNumberFormat="1" applyFont="1" applyBorder="1" applyProtection="1"/>
    <xf numFmtId="6" fontId="19" fillId="0" borderId="11" xfId="4" applyNumberFormat="1" applyFont="1" applyFill="1" applyBorder="1" applyProtection="1"/>
    <xf numFmtId="6" fontId="19" fillId="0" borderId="18" xfId="4" applyNumberFormat="1" applyFont="1" applyFill="1" applyBorder="1" applyProtection="1"/>
    <xf numFmtId="6" fontId="13" fillId="0" borderId="12" xfId="4" applyNumberFormat="1" applyFont="1" applyBorder="1" applyProtection="1"/>
    <xf numFmtId="6" fontId="19" fillId="0" borderId="0" xfId="4" applyNumberFormat="1" applyFont="1" applyFill="1" applyBorder="1" applyProtection="1"/>
    <xf numFmtId="6" fontId="19" fillId="0" borderId="13" xfId="4" applyNumberFormat="1" applyFont="1" applyFill="1" applyBorder="1" applyProtection="1"/>
    <xf numFmtId="6" fontId="19" fillId="0" borderId="20" xfId="4" applyNumberFormat="1" applyFont="1" applyFill="1" applyBorder="1" applyProtection="1"/>
    <xf numFmtId="0" fontId="20" fillId="3" borderId="15" xfId="0" applyFont="1" applyFill="1" applyBorder="1" applyAlignment="1">
      <alignment horizontal="center" vertical="center" textRotation="90"/>
    </xf>
    <xf numFmtId="2" fontId="13" fillId="0" borderId="27" xfId="0" applyNumberFormat="1" applyFont="1" applyBorder="1" applyAlignment="1">
      <alignment horizontal="left"/>
    </xf>
    <xf numFmtId="6" fontId="13" fillId="0" borderId="15" xfId="4" applyNumberFormat="1" applyFont="1" applyBorder="1" applyProtection="1"/>
    <xf numFmtId="6" fontId="19" fillId="0" borderId="2" xfId="4" applyNumberFormat="1" applyFont="1" applyFill="1" applyBorder="1" applyProtection="1"/>
    <xf numFmtId="6" fontId="19" fillId="0" borderId="14" xfId="4" applyNumberFormat="1" applyFont="1" applyFill="1" applyBorder="1" applyProtection="1"/>
    <xf numFmtId="0" fontId="13" fillId="5" borderId="0" xfId="0" applyFont="1" applyFill="1" applyAlignment="1">
      <alignment horizontal="left"/>
    </xf>
    <xf numFmtId="0" fontId="14" fillId="5" borderId="0" xfId="0" applyFont="1" applyFill="1"/>
    <xf numFmtId="9" fontId="13" fillId="5" borderId="0" xfId="1" applyFont="1" applyFill="1" applyProtection="1"/>
    <xf numFmtId="9" fontId="13" fillId="5" borderId="0" xfId="1" applyFont="1" applyFill="1" applyBorder="1" applyProtection="1"/>
    <xf numFmtId="164" fontId="13" fillId="5" borderId="0" xfId="0" applyNumberFormat="1" applyFont="1" applyFill="1"/>
    <xf numFmtId="0" fontId="6" fillId="0" borderId="0" xfId="0" applyFont="1"/>
    <xf numFmtId="0" fontId="19" fillId="0" borderId="0" xfId="0" applyFont="1"/>
    <xf numFmtId="0" fontId="4" fillId="0" borderId="0" xfId="0" applyFont="1"/>
    <xf numFmtId="0" fontId="17" fillId="0" borderId="1" xfId="0" applyFont="1" applyBorder="1"/>
    <xf numFmtId="0" fontId="7" fillId="0" borderId="1" xfId="0" applyFont="1" applyBorder="1" applyAlignment="1">
      <alignment horizontal="left" wrapText="1"/>
    </xf>
    <xf numFmtId="0" fontId="17" fillId="0" borderId="1" xfId="0" applyFont="1" applyBorder="1" applyAlignment="1">
      <alignment horizontal="center" wrapText="1"/>
    </xf>
    <xf numFmtId="0" fontId="17" fillId="0" borderId="0" xfId="0" applyFont="1" applyAlignment="1">
      <alignment horizontal="center" wrapText="1"/>
    </xf>
    <xf numFmtId="0" fontId="17" fillId="0" borderId="0" xfId="0" applyFont="1"/>
    <xf numFmtId="0" fontId="17" fillId="0" borderId="0" xfId="0" applyFont="1" applyAlignment="1">
      <alignment horizontal="center"/>
    </xf>
    <xf numFmtId="0" fontId="9" fillId="0" borderId="0" xfId="0" applyFont="1"/>
    <xf numFmtId="164" fontId="13" fillId="0" borderId="2" xfId="0" applyNumberFormat="1" applyFont="1" applyBorder="1"/>
    <xf numFmtId="0" fontId="5" fillId="0" borderId="0" xfId="0" applyFont="1" applyAlignment="1">
      <alignment horizontal="right"/>
    </xf>
    <xf numFmtId="164" fontId="13" fillId="0" borderId="0" xfId="0" applyNumberFormat="1" applyFont="1"/>
    <xf numFmtId="0" fontId="23" fillId="0" borderId="0" xfId="0" applyFont="1"/>
    <xf numFmtId="0" fontId="7" fillId="0" borderId="0" xfId="0" applyFont="1" applyAlignment="1">
      <alignment horizontal="left" wrapText="1"/>
    </xf>
    <xf numFmtId="164" fontId="13" fillId="0" borderId="0" xfId="4" applyNumberFormat="1" applyFont="1" applyProtection="1"/>
    <xf numFmtId="166" fontId="13" fillId="0" borderId="0" xfId="0" applyNumberFormat="1" applyFont="1"/>
    <xf numFmtId="165" fontId="13" fillId="0" borderId="0" xfId="0" applyNumberFormat="1" applyFont="1"/>
    <xf numFmtId="9" fontId="9" fillId="0" borderId="0" xfId="0" applyNumberFormat="1" applyFont="1" applyAlignment="1">
      <alignment horizontal="left"/>
    </xf>
    <xf numFmtId="9" fontId="13" fillId="0" borderId="0" xfId="0" applyNumberFormat="1" applyFont="1" applyAlignment="1">
      <alignment horizontal="left"/>
    </xf>
    <xf numFmtId="3" fontId="13" fillId="0" borderId="0" xfId="0" applyNumberFormat="1" applyFont="1"/>
    <xf numFmtId="0" fontId="5" fillId="0" borderId="2" xfId="0" applyFont="1" applyBorder="1" applyAlignment="1">
      <alignment horizontal="right"/>
    </xf>
    <xf numFmtId="0" fontId="13" fillId="0" borderId="2" xfId="0" applyFont="1" applyBorder="1"/>
    <xf numFmtId="0" fontId="2" fillId="0" borderId="2" xfId="0" applyFont="1" applyBorder="1"/>
    <xf numFmtId="0" fontId="13" fillId="0" borderId="3" xfId="0" applyFont="1" applyBorder="1"/>
    <xf numFmtId="164" fontId="13" fillId="0" borderId="3" xfId="0" applyNumberFormat="1" applyFont="1" applyBorder="1"/>
    <xf numFmtId="0" fontId="2" fillId="0" borderId="3" xfId="0" applyFont="1" applyBorder="1"/>
    <xf numFmtId="0" fontId="11" fillId="5" borderId="0" xfId="0" applyFont="1" applyFill="1" applyAlignment="1">
      <alignment horizontal="center"/>
    </xf>
    <xf numFmtId="0" fontId="5" fillId="5" borderId="0" xfId="0" applyFont="1" applyFill="1" applyAlignment="1">
      <alignment horizontal="left" vertical="top" wrapText="1"/>
    </xf>
    <xf numFmtId="0" fontId="5" fillId="5" borderId="0" xfId="0" applyFont="1" applyFill="1" applyAlignment="1">
      <alignment horizontal="right" vertical="top" wrapText="1"/>
    </xf>
    <xf numFmtId="0" fontId="26" fillId="5" borderId="0" xfId="5" applyFont="1" applyFill="1" applyAlignment="1">
      <alignment horizontal="left" vertical="top" wrapText="1"/>
    </xf>
    <xf numFmtId="3" fontId="13" fillId="0" borderId="2" xfId="0" applyNumberFormat="1" applyFont="1" applyBorder="1"/>
    <xf numFmtId="3" fontId="13" fillId="2" borderId="2" xfId="0" applyNumberFormat="1" applyFont="1" applyFill="1" applyBorder="1" applyProtection="1">
      <protection locked="0"/>
    </xf>
    <xf numFmtId="3" fontId="13" fillId="0" borderId="14" xfId="0" applyNumberFormat="1" applyFont="1" applyBorder="1"/>
    <xf numFmtId="0" fontId="13" fillId="3" borderId="15" xfId="0" applyFont="1" applyFill="1" applyBorder="1"/>
    <xf numFmtId="0" fontId="13" fillId="3" borderId="2" xfId="0" applyFont="1" applyFill="1" applyBorder="1"/>
    <xf numFmtId="0" fontId="19" fillId="5" borderId="2" xfId="0" applyFont="1" applyFill="1" applyBorder="1" applyAlignment="1">
      <alignment horizontal="right"/>
    </xf>
    <xf numFmtId="0" fontId="19" fillId="5" borderId="14" xfId="0" applyFont="1" applyFill="1" applyBorder="1" applyAlignment="1">
      <alignment horizontal="right"/>
    </xf>
    <xf numFmtId="0" fontId="13" fillId="3" borderId="18" xfId="0" applyFont="1" applyFill="1" applyBorder="1"/>
    <xf numFmtId="0" fontId="13" fillId="3" borderId="14" xfId="0" applyFont="1" applyFill="1" applyBorder="1"/>
    <xf numFmtId="0" fontId="20" fillId="3" borderId="15" xfId="0" applyFont="1" applyFill="1" applyBorder="1" applyAlignment="1">
      <alignment horizontal="center" textRotation="90"/>
    </xf>
    <xf numFmtId="0" fontId="20" fillId="3" borderId="2" xfId="0" applyFont="1" applyFill="1" applyBorder="1" applyAlignment="1">
      <alignment horizontal="center" textRotation="90"/>
    </xf>
    <xf numFmtId="0" fontId="18" fillId="3" borderId="22" xfId="0" applyFont="1" applyFill="1" applyBorder="1"/>
    <xf numFmtId="0" fontId="12" fillId="3" borderId="5" xfId="0" applyFont="1" applyFill="1" applyBorder="1"/>
    <xf numFmtId="0" fontId="12" fillId="3" borderId="6" xfId="0" applyFont="1" applyFill="1" applyBorder="1"/>
    <xf numFmtId="0" fontId="22" fillId="3" borderId="5" xfId="3" applyFont="1" applyFill="1" applyBorder="1" applyAlignment="1">
      <alignment horizontal="center"/>
    </xf>
    <xf numFmtId="0" fontId="22" fillId="3" borderId="6" xfId="3" applyFont="1" applyFill="1" applyBorder="1" applyAlignment="1">
      <alignment horizontal="center"/>
    </xf>
    <xf numFmtId="0" fontId="22" fillId="3" borderId="7" xfId="3" applyFont="1" applyFill="1" applyBorder="1" applyAlignment="1">
      <alignment horizontal="center"/>
    </xf>
    <xf numFmtId="0" fontId="13" fillId="5" borderId="0" xfId="0" applyFont="1" applyFill="1" applyAlignment="1">
      <alignment horizontal="right"/>
    </xf>
    <xf numFmtId="0" fontId="0" fillId="5" borderId="0" xfId="0" applyFill="1"/>
    <xf numFmtId="0" fontId="13" fillId="5" borderId="0" xfId="0" applyFont="1" applyFill="1" applyAlignment="1">
      <alignment horizontal="left" vertical="top" wrapText="1"/>
    </xf>
    <xf numFmtId="0" fontId="15" fillId="4" borderId="8" xfId="2" applyFont="1" applyBorder="1" applyAlignment="1">
      <alignment horizontal="center" wrapText="1"/>
    </xf>
    <xf numFmtId="0" fontId="15" fillId="4" borderId="9" xfId="2" applyFont="1" applyBorder="1" applyAlignment="1">
      <alignment horizontal="center" wrapText="1"/>
    </xf>
    <xf numFmtId="0" fontId="15" fillId="4" borderId="10" xfId="2" applyFont="1" applyBorder="1" applyAlignment="1">
      <alignment horizontal="center" wrapText="1"/>
    </xf>
    <xf numFmtId="0" fontId="11" fillId="5" borderId="0" xfId="0" applyFont="1" applyFill="1" applyAlignment="1">
      <alignment horizontal="center"/>
    </xf>
    <xf numFmtId="0" fontId="5" fillId="5" borderId="0" xfId="0" applyFont="1" applyFill="1" applyAlignment="1">
      <alignment horizontal="left" vertical="top" wrapText="1"/>
    </xf>
    <xf numFmtId="0" fontId="0" fillId="0" borderId="0" xfId="0" applyAlignment="1">
      <alignment horizontal="left" wrapText="1"/>
    </xf>
    <xf numFmtId="164" fontId="0" fillId="0" borderId="0" xfId="0" applyNumberFormat="1" applyAlignment="1">
      <alignment horizontal="right"/>
    </xf>
    <xf numFmtId="0" fontId="19" fillId="0" borderId="2" xfId="0" applyFont="1" applyBorder="1" applyAlignment="1">
      <alignment horizontal="center" wrapText="1"/>
    </xf>
    <xf numFmtId="0" fontId="5" fillId="0" borderId="0" xfId="0" applyFont="1" applyAlignment="1">
      <alignment horizontal="left" wrapText="1"/>
    </xf>
    <xf numFmtId="0" fontId="5" fillId="0" borderId="3" xfId="0" applyFont="1" applyBorder="1" applyAlignment="1">
      <alignment horizontal="left"/>
    </xf>
    <xf numFmtId="0" fontId="21" fillId="3" borderId="23" xfId="0" applyFont="1" applyFill="1" applyBorder="1" applyAlignment="1">
      <alignment horizontal="center" wrapText="1"/>
    </xf>
    <xf numFmtId="0" fontId="21" fillId="3" borderId="1" xfId="0" applyFont="1" applyFill="1" applyBorder="1" applyAlignment="1">
      <alignment horizontal="center" wrapText="1"/>
    </xf>
    <xf numFmtId="0" fontId="21" fillId="3" borderId="24" xfId="0" applyFont="1" applyFill="1" applyBorder="1" applyAlignment="1">
      <alignment horizontal="center" wrapText="1"/>
    </xf>
    <xf numFmtId="0" fontId="5" fillId="5" borderId="0" xfId="0" applyFont="1" applyFill="1" applyAlignment="1">
      <alignment horizontal="center"/>
    </xf>
    <xf numFmtId="0" fontId="13" fillId="0" borderId="0" xfId="0" applyFont="1" applyAlignment="1">
      <alignment horizontal="left"/>
    </xf>
    <xf numFmtId="0" fontId="13" fillId="5" borderId="0" xfId="0" applyFont="1" applyFill="1" applyAlignment="1">
      <alignment horizontal="left" wrapText="1"/>
    </xf>
    <xf numFmtId="0" fontId="24" fillId="3" borderId="21" xfId="0" applyFont="1" applyFill="1" applyBorder="1" applyAlignment="1">
      <alignment horizontal="center" vertical="center" textRotation="90"/>
    </xf>
    <xf numFmtId="0" fontId="24" fillId="3" borderId="22" xfId="0" applyFont="1" applyFill="1" applyBorder="1" applyAlignment="1">
      <alignment horizontal="center" vertical="center" textRotation="90"/>
    </xf>
    <xf numFmtId="0" fontId="24" fillId="3" borderId="25" xfId="0" applyFont="1" applyFill="1" applyBorder="1" applyAlignment="1">
      <alignment horizontal="center"/>
    </xf>
    <xf numFmtId="0" fontId="24" fillId="3" borderId="1" xfId="0" applyFont="1" applyFill="1" applyBorder="1" applyAlignment="1">
      <alignment horizontal="center"/>
    </xf>
    <xf numFmtId="0" fontId="24" fillId="3" borderId="24" xfId="0" applyFont="1" applyFill="1" applyBorder="1" applyAlignment="1">
      <alignment horizontal="center"/>
    </xf>
    <xf numFmtId="0" fontId="24" fillId="3" borderId="12" xfId="0" applyFont="1" applyFill="1" applyBorder="1" applyAlignment="1">
      <alignment horizontal="center" vertical="center" textRotation="90"/>
    </xf>
    <xf numFmtId="0" fontId="24" fillId="3" borderId="15" xfId="0" applyFont="1" applyFill="1" applyBorder="1" applyAlignment="1">
      <alignment horizontal="center" vertical="center" textRotation="90"/>
    </xf>
  </cellXfs>
  <cellStyles count="6">
    <cellStyle name="Currency" xfId="4" builtinId="4"/>
    <cellStyle name="Hyperlink" xfId="5" builtinId="8"/>
    <cellStyle name="Normal" xfId="0" builtinId="0"/>
    <cellStyle name="Normal 2 2" xfId="3" xr:uid="{B82EEC54-C959-4263-882E-61D78481713D}"/>
    <cellStyle name="Output" xfId="2" builtinId="21"/>
    <cellStyle name="Percent" xfId="1" builtinId="5"/>
  </cellStyles>
  <dxfs count="2">
    <dxf>
      <font>
        <color rgb="FFFF0000"/>
      </font>
    </dxf>
    <dxf>
      <font>
        <color rgb="FFFF000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2628900</xdr:colOff>
      <xdr:row>3</xdr:row>
      <xdr:rowOff>142875</xdr:rowOff>
    </xdr:from>
    <xdr:to>
      <xdr:col>4</xdr:col>
      <xdr:colOff>0</xdr:colOff>
      <xdr:row>8</xdr:row>
      <xdr:rowOff>158431</xdr:rowOff>
    </xdr:to>
    <xdr:pic>
      <xdr:nvPicPr>
        <xdr:cNvPr id="2" name="Picture 1" descr="University of Missouri - Extension and Food &amp; Agricultural Policy Research Institute">
          <a:extLst>
            <a:ext uri="{FF2B5EF4-FFF2-40B4-BE49-F238E27FC236}">
              <a16:creationId xmlns:a16="http://schemas.microsoft.com/office/drawing/2014/main" id="{BF5665BA-96E9-4928-865B-BA223819DF57}"/>
            </a:ext>
          </a:extLst>
        </xdr:cNvPr>
        <xdr:cNvPicPr>
          <a:picLocks noChangeAspect="1"/>
        </xdr:cNvPicPr>
      </xdr:nvPicPr>
      <xdr:blipFill>
        <a:blip xmlns:r="http://schemas.openxmlformats.org/officeDocument/2006/relationships" r:embed="rId1"/>
        <a:stretch>
          <a:fillRect/>
        </a:stretch>
      </xdr:blipFill>
      <xdr:spPr>
        <a:xfrm>
          <a:off x="5334000" y="819150"/>
          <a:ext cx="2800350" cy="9490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ryan-milhollin" TargetMode="External"/><Relationship Id="rId1" Type="http://schemas.openxmlformats.org/officeDocument/2006/relationships/hyperlink" Target="https://extension.missouri.edu/programs/commercial-horticulture/find-a-horticulturist-near-yo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codeName="Sheet1">
    <pageSetUpPr fitToPage="1"/>
  </sheetPr>
  <dimension ref="A1:M28"/>
  <sheetViews>
    <sheetView tabSelected="1" workbookViewId="0"/>
  </sheetViews>
  <sheetFormatPr defaultColWidth="0" defaultRowHeight="16.5" customHeight="1" zeroHeight="1" x14ac:dyDescent="0.4"/>
  <cols>
    <col min="1" max="1" width="2.796875" style="4" customWidth="1"/>
    <col min="2" max="3" width="34.59765625" style="4" customWidth="1"/>
    <col min="4" max="4" width="36.59765625" style="4" customWidth="1"/>
    <col min="5" max="5" width="3" style="4" customWidth="1"/>
    <col min="6" max="8" width="9" style="4" hidden="1" customWidth="1"/>
    <col min="9" max="13" width="0" style="4" hidden="1" customWidth="1"/>
    <col min="14" max="16384" width="9" style="4" hidden="1"/>
  </cols>
  <sheetData>
    <row r="1" spans="1:13" ht="17.399999999999999" thickBot="1" x14ac:dyDescent="0.45">
      <c r="A1" s="3"/>
      <c r="B1" s="5"/>
      <c r="C1" s="5"/>
      <c r="D1" s="5"/>
      <c r="E1" s="3"/>
      <c r="F1" s="3"/>
      <c r="G1" s="3"/>
      <c r="H1" s="3"/>
      <c r="I1" s="3"/>
      <c r="J1" s="3"/>
      <c r="K1" s="3"/>
      <c r="L1" s="3"/>
      <c r="M1" s="3"/>
    </row>
    <row r="2" spans="1:13" ht="19.5" customHeight="1" thickBot="1" x14ac:dyDescent="0.45">
      <c r="A2" s="3"/>
      <c r="B2" s="119" t="s">
        <v>50</v>
      </c>
      <c r="C2" s="120"/>
      <c r="D2" s="121"/>
      <c r="E2" s="3"/>
      <c r="F2" s="3"/>
      <c r="G2" s="3"/>
      <c r="H2" s="3"/>
    </row>
    <row r="3" spans="1:13" ht="16.5" customHeight="1" x14ac:dyDescent="0.4">
      <c r="A3" s="3"/>
      <c r="B3" s="122" t="s">
        <v>0</v>
      </c>
      <c r="C3" s="122"/>
      <c r="D3" s="122"/>
      <c r="E3" s="3"/>
      <c r="F3" s="3"/>
      <c r="G3" s="3"/>
      <c r="H3" s="3"/>
    </row>
    <row r="4" spans="1:13" ht="16.8" x14ac:dyDescent="0.4">
      <c r="A4" s="3"/>
      <c r="B4" s="123"/>
      <c r="C4" s="123"/>
      <c r="D4" s="123"/>
      <c r="E4" s="3"/>
      <c r="F4" s="3"/>
      <c r="G4" s="3"/>
      <c r="H4" s="3"/>
    </row>
    <row r="5" spans="1:13" ht="16.8" x14ac:dyDescent="0.4">
      <c r="A5" s="3"/>
      <c r="B5" s="16" t="s">
        <v>93</v>
      </c>
      <c r="C5" s="8"/>
      <c r="D5" s="128"/>
      <c r="E5" s="3"/>
      <c r="F5" s="3"/>
      <c r="G5" s="3"/>
      <c r="H5" s="3"/>
    </row>
    <row r="6" spans="1:13" ht="16.5" customHeight="1" x14ac:dyDescent="0.4">
      <c r="A6" s="3"/>
      <c r="B6" s="129"/>
      <c r="C6" s="129"/>
      <c r="D6" s="128"/>
      <c r="E6" s="3"/>
      <c r="F6" s="3"/>
      <c r="G6" s="3"/>
      <c r="H6" s="3"/>
    </row>
    <row r="7" spans="1:13" ht="16.5" customHeight="1" x14ac:dyDescent="0.4">
      <c r="A7" s="3"/>
      <c r="B7" s="103" t="s">
        <v>89</v>
      </c>
      <c r="C7" s="104" t="s">
        <v>90</v>
      </c>
      <c r="D7" s="101"/>
      <c r="E7" s="3"/>
      <c r="F7" s="3"/>
      <c r="G7" s="3"/>
      <c r="H7" s="3"/>
    </row>
    <row r="8" spans="1:13" ht="8.1" customHeight="1" x14ac:dyDescent="0.4">
      <c r="A8" s="3"/>
      <c r="B8" s="103"/>
      <c r="C8" s="102"/>
      <c r="D8" s="101"/>
      <c r="E8" s="3"/>
      <c r="F8" s="3"/>
      <c r="G8" s="3"/>
      <c r="H8" s="3"/>
    </row>
    <row r="9" spans="1:13" ht="16.5" customHeight="1" x14ac:dyDescent="0.4">
      <c r="A9" s="3"/>
      <c r="B9" s="103" t="s">
        <v>91</v>
      </c>
      <c r="C9" s="104" t="s">
        <v>92</v>
      </c>
      <c r="D9" s="101"/>
      <c r="E9" s="3"/>
      <c r="F9" s="3"/>
      <c r="G9" s="3"/>
      <c r="H9" s="3"/>
    </row>
    <row r="10" spans="1:13" ht="16.8" x14ac:dyDescent="0.4">
      <c r="A10" s="3"/>
      <c r="B10" s="6"/>
      <c r="C10"/>
      <c r="D10" s="5"/>
      <c r="E10" s="3"/>
      <c r="F10" s="3"/>
      <c r="G10" s="3"/>
      <c r="H10" s="3"/>
    </row>
    <row r="11" spans="1:13" ht="48.6" customHeight="1" x14ac:dyDescent="0.4">
      <c r="A11" s="3"/>
      <c r="B11" s="124" t="s">
        <v>46</v>
      </c>
      <c r="C11" s="124"/>
      <c r="D11" s="124"/>
      <c r="E11" s="3"/>
      <c r="F11" s="3"/>
      <c r="G11" s="3"/>
      <c r="H11" s="3"/>
    </row>
    <row r="12" spans="1:13" ht="54" customHeight="1" x14ac:dyDescent="0.4">
      <c r="A12" s="3"/>
      <c r="B12" s="124" t="s">
        <v>72</v>
      </c>
      <c r="C12" s="124"/>
      <c r="D12" s="124"/>
      <c r="F12" s="3"/>
      <c r="G12" s="3"/>
      <c r="H12" s="3"/>
    </row>
    <row r="13" spans="1:13" ht="16.5" customHeight="1" x14ac:dyDescent="0.4">
      <c r="A13" s="3"/>
      <c r="B13" s="7"/>
      <c r="C13" s="7"/>
      <c r="D13" s="7"/>
      <c r="E13" s="3"/>
      <c r="F13" s="3"/>
      <c r="G13" s="3"/>
      <c r="H13" s="3"/>
    </row>
    <row r="14" spans="1:13" ht="16.5" customHeight="1" x14ac:dyDescent="0.4">
      <c r="A14" s="3"/>
      <c r="B14" s="125" t="s">
        <v>1</v>
      </c>
      <c r="C14" s="126"/>
      <c r="D14" s="127"/>
      <c r="E14" s="3"/>
      <c r="F14" s="3"/>
      <c r="G14" s="3"/>
      <c r="H14" s="3"/>
    </row>
    <row r="15" spans="1:13" ht="17.399999999999999" thickBot="1" x14ac:dyDescent="0.45">
      <c r="A15" s="3"/>
      <c r="B15" s="5"/>
      <c r="C15" s="5"/>
      <c r="D15" s="5"/>
      <c r="E15" s="3"/>
      <c r="F15" s="3"/>
      <c r="G15" s="3"/>
      <c r="H15" s="3"/>
    </row>
    <row r="16" spans="1:13" ht="19.2" thickBot="1" x14ac:dyDescent="0.45">
      <c r="A16" s="3"/>
      <c r="B16" s="117"/>
      <c r="C16" s="118"/>
      <c r="D16" s="118"/>
      <c r="E16" s="3"/>
      <c r="F16" s="3"/>
      <c r="G16" s="3"/>
      <c r="H16" s="3"/>
    </row>
    <row r="17" spans="1:8" ht="16.8" x14ac:dyDescent="0.4">
      <c r="A17" s="3"/>
      <c r="B17" s="3"/>
      <c r="C17" s="3"/>
      <c r="D17" s="3"/>
      <c r="E17" s="3"/>
      <c r="F17" s="3"/>
      <c r="G17" s="3"/>
      <c r="H17" s="3"/>
    </row>
    <row r="18" spans="1:8" ht="16.8" hidden="1" x14ac:dyDescent="0.4">
      <c r="A18" s="3"/>
      <c r="B18" s="3"/>
      <c r="C18" s="3"/>
      <c r="D18" s="3"/>
      <c r="E18" s="3"/>
      <c r="F18" s="3"/>
      <c r="G18" s="3"/>
      <c r="H18" s="3"/>
    </row>
    <row r="19" spans="1:8" ht="16.8" hidden="1" x14ac:dyDescent="0.4">
      <c r="A19" s="3"/>
      <c r="B19" s="3"/>
      <c r="C19" s="3"/>
      <c r="D19" s="3"/>
      <c r="E19" s="3"/>
      <c r="F19" s="3"/>
      <c r="G19" s="3"/>
      <c r="H19" s="3"/>
    </row>
    <row r="20" spans="1:8" ht="16.8" hidden="1" x14ac:dyDescent="0.4">
      <c r="A20" s="3"/>
      <c r="B20" s="3"/>
      <c r="C20" s="3"/>
      <c r="D20" s="3"/>
      <c r="E20" s="3"/>
      <c r="F20" s="3"/>
      <c r="G20" s="3"/>
      <c r="H20" s="3"/>
    </row>
    <row r="21" spans="1:8" ht="16.8" hidden="1" x14ac:dyDescent="0.4">
      <c r="A21" s="3"/>
      <c r="B21" s="3"/>
      <c r="C21" s="3"/>
      <c r="D21" s="3"/>
      <c r="E21" s="3"/>
      <c r="F21" s="3"/>
      <c r="G21" s="3"/>
      <c r="H21" s="3"/>
    </row>
    <row r="22" spans="1:8" ht="16.8" hidden="1" x14ac:dyDescent="0.4">
      <c r="A22" s="3"/>
      <c r="B22" s="3"/>
      <c r="C22" s="3"/>
      <c r="D22" s="3"/>
      <c r="E22" s="3"/>
      <c r="F22" s="3"/>
      <c r="G22" s="3"/>
      <c r="H22" s="3"/>
    </row>
    <row r="23" spans="1:8" ht="16.8" hidden="1" x14ac:dyDescent="0.4">
      <c r="A23" s="3"/>
      <c r="B23" s="3"/>
      <c r="C23" s="3"/>
      <c r="D23" s="3"/>
      <c r="E23" s="3"/>
      <c r="F23" s="3"/>
      <c r="G23" s="3"/>
      <c r="H23" s="3"/>
    </row>
    <row r="24" spans="1:8" ht="16.8" hidden="1" x14ac:dyDescent="0.4">
      <c r="A24" s="3"/>
      <c r="B24" s="3"/>
      <c r="C24" s="3"/>
      <c r="D24" s="3"/>
      <c r="E24" s="3"/>
      <c r="F24" s="3"/>
      <c r="G24" s="3"/>
      <c r="H24" s="3"/>
    </row>
    <row r="25" spans="1:8" ht="16.8" hidden="1" x14ac:dyDescent="0.4">
      <c r="A25" s="3"/>
      <c r="B25" s="3"/>
      <c r="C25" s="3"/>
      <c r="D25" s="3"/>
      <c r="E25" s="3"/>
      <c r="F25" s="3"/>
      <c r="G25" s="3"/>
      <c r="H25" s="3"/>
    </row>
    <row r="26" spans="1:8" ht="16.8" hidden="1" x14ac:dyDescent="0.4">
      <c r="A26" s="3"/>
    </row>
    <row r="27" spans="1:8" ht="16.8" hidden="1" x14ac:dyDescent="0.4">
      <c r="A27" s="3"/>
    </row>
    <row r="28" spans="1:8" ht="16.8" hidden="1" x14ac:dyDescent="0.4">
      <c r="A28" s="3"/>
    </row>
  </sheetData>
  <sheetProtection sheet="1" objects="1" scenarios="1"/>
  <mergeCells count="9">
    <mergeCell ref="B16:D16"/>
    <mergeCell ref="B2:D2"/>
    <mergeCell ref="B3:D3"/>
    <mergeCell ref="B4:D4"/>
    <mergeCell ref="B12:D12"/>
    <mergeCell ref="B14:D14"/>
    <mergeCell ref="B11:D11"/>
    <mergeCell ref="D5:D6"/>
    <mergeCell ref="B6:C6"/>
  </mergeCells>
  <hyperlinks>
    <hyperlink ref="C9" r:id="rId1" xr:uid="{A1247D11-1ACB-4119-A990-B8CDC891EA1C}"/>
    <hyperlink ref="C7" r:id="rId2" xr:uid="{21926BAB-BDE0-4366-9F08-AADAE84FFB44}"/>
  </hyperlinks>
  <pageMargins left="0.7" right="0.7" top="0.75" bottom="0.75" header="0.3" footer="0.3"/>
  <pageSetup scale="77"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sheetPr codeName="Sheet2">
    <pageSetUpPr fitToPage="1"/>
  </sheetPr>
  <dimension ref="A1:W50"/>
  <sheetViews>
    <sheetView showGridLines="0" zoomScaleNormal="100" workbookViewId="0"/>
  </sheetViews>
  <sheetFormatPr defaultColWidth="0" defaultRowHeight="15.6" zeroHeight="1" x14ac:dyDescent="0.35"/>
  <cols>
    <col min="1" max="1" width="3.09765625" style="1" customWidth="1"/>
    <col min="2" max="2" width="29.59765625" style="1" customWidth="1"/>
    <col min="3" max="3" width="8.09765625" style="1" customWidth="1"/>
    <col min="4" max="4" width="8.5" style="1" customWidth="1"/>
    <col min="5" max="5" width="1" style="1" customWidth="1"/>
    <col min="6" max="6" width="8.796875" style="1" customWidth="1"/>
    <col min="7" max="7" width="10.59765625" style="1" customWidth="1"/>
    <col min="8" max="8" width="1.59765625" style="1" customWidth="1"/>
    <col min="9" max="9" width="8.796875" style="1" customWidth="1"/>
    <col min="10" max="10" width="10.59765625" style="1" customWidth="1"/>
    <col min="11" max="11" width="1.59765625" style="1" customWidth="1"/>
    <col min="12" max="12" width="8.796875" style="1" customWidth="1"/>
    <col min="13" max="13" width="10.59765625" style="1" customWidth="1"/>
    <col min="14" max="14" width="1.59765625" style="1" customWidth="1"/>
    <col min="15" max="15" width="8.796875" style="1" customWidth="1"/>
    <col min="16" max="16" width="10.59765625" style="1" customWidth="1"/>
    <col min="17" max="17" width="1.59765625" style="1" customWidth="1"/>
    <col min="18" max="18" width="8.796875" style="1" customWidth="1"/>
    <col min="19" max="19" width="10.59765625" style="1" customWidth="1"/>
    <col min="20" max="20" width="1.59765625" style="1" customWidth="1"/>
    <col min="21" max="21" width="8.796875" style="1" customWidth="1"/>
    <col min="22" max="22" width="10.59765625" style="1" customWidth="1"/>
    <col min="23" max="23" width="3.09765625" style="1" customWidth="1"/>
    <col min="24" max="16384" width="9" style="1" hidden="1"/>
  </cols>
  <sheetData>
    <row r="1" spans="1:22" ht="16.5" customHeight="1" x14ac:dyDescent="0.35">
      <c r="B1" s="2"/>
      <c r="C1"/>
      <c r="D1"/>
      <c r="E1"/>
      <c r="F1"/>
      <c r="G1"/>
      <c r="H1"/>
      <c r="I1"/>
      <c r="J1"/>
      <c r="K1"/>
      <c r="L1"/>
      <c r="M1"/>
      <c r="N1"/>
      <c r="O1"/>
      <c r="P1"/>
    </row>
    <row r="2" spans="1:22" ht="18.75" customHeight="1" x14ac:dyDescent="0.4">
      <c r="B2" s="135" t="s">
        <v>73</v>
      </c>
      <c r="C2" s="136"/>
      <c r="D2" s="136"/>
      <c r="E2" s="136"/>
      <c r="F2" s="136"/>
      <c r="G2" s="136"/>
      <c r="H2" s="136"/>
      <c r="I2" s="136"/>
      <c r="J2" s="136"/>
      <c r="K2" s="136"/>
      <c r="L2" s="136"/>
      <c r="M2" s="136"/>
      <c r="N2" s="136"/>
      <c r="O2" s="136"/>
      <c r="P2" s="136"/>
      <c r="Q2" s="136"/>
      <c r="R2" s="136"/>
      <c r="S2" s="136"/>
      <c r="T2" s="136"/>
      <c r="U2" s="136"/>
      <c r="V2" s="137"/>
    </row>
    <row r="3" spans="1:22" ht="32.549999999999997" customHeight="1" x14ac:dyDescent="0.35">
      <c r="B3" s="74"/>
      <c r="C3" s="74"/>
      <c r="D3" s="74"/>
      <c r="E3" s="74"/>
      <c r="F3" s="132" t="s">
        <v>82</v>
      </c>
      <c r="G3" s="132"/>
      <c r="H3" s="75"/>
      <c r="I3" s="132" t="s">
        <v>83</v>
      </c>
      <c r="J3" s="132"/>
      <c r="K3" s="75"/>
      <c r="L3" s="132" t="s">
        <v>84</v>
      </c>
      <c r="M3" s="132"/>
      <c r="N3" s="75"/>
      <c r="O3" s="132" t="s">
        <v>85</v>
      </c>
      <c r="P3" s="132"/>
      <c r="R3" s="132" t="s">
        <v>86</v>
      </c>
      <c r="S3" s="132"/>
      <c r="T3" s="76"/>
      <c r="U3" s="132" t="s">
        <v>87</v>
      </c>
      <c r="V3" s="132"/>
    </row>
    <row r="4" spans="1:22" ht="35.1" customHeight="1" x14ac:dyDescent="0.4">
      <c r="A4" s="17"/>
      <c r="B4" s="77" t="s">
        <v>24</v>
      </c>
      <c r="C4" s="78" t="s">
        <v>3</v>
      </c>
      <c r="D4" s="79" t="s">
        <v>4</v>
      </c>
      <c r="E4" s="80"/>
      <c r="F4" s="79" t="s">
        <v>5</v>
      </c>
      <c r="G4" s="79" t="s">
        <v>6</v>
      </c>
      <c r="H4" s="81"/>
      <c r="I4" s="79" t="s">
        <v>5</v>
      </c>
      <c r="J4" s="79" t="s">
        <v>7</v>
      </c>
      <c r="K4" s="81"/>
      <c r="L4" s="79" t="s">
        <v>5</v>
      </c>
      <c r="M4" s="79" t="s">
        <v>6</v>
      </c>
      <c r="N4" s="82"/>
      <c r="O4" s="79" t="s">
        <v>5</v>
      </c>
      <c r="P4" s="79" t="s">
        <v>6</v>
      </c>
      <c r="R4" s="79" t="s">
        <v>5</v>
      </c>
      <c r="S4" s="79" t="s">
        <v>6</v>
      </c>
      <c r="U4" s="79" t="s">
        <v>5</v>
      </c>
      <c r="V4" s="79" t="s">
        <v>6</v>
      </c>
    </row>
    <row r="5" spans="1:22" ht="16.5" customHeight="1" x14ac:dyDescent="0.4">
      <c r="A5" s="17"/>
      <c r="B5" s="8" t="s">
        <v>74</v>
      </c>
      <c r="C5" s="83" t="s">
        <v>75</v>
      </c>
      <c r="D5" s="18">
        <v>32.78</v>
      </c>
      <c r="E5" s="8"/>
      <c r="F5" s="25">
        <v>0</v>
      </c>
      <c r="G5" s="84">
        <f>F5*D5</f>
        <v>0</v>
      </c>
      <c r="H5" s="8"/>
      <c r="I5" s="25">
        <v>0</v>
      </c>
      <c r="J5" s="84">
        <f>I5*D5</f>
        <v>0</v>
      </c>
      <c r="K5" s="8"/>
      <c r="L5" s="23">
        <v>0</v>
      </c>
      <c r="M5" s="84">
        <f>L5*D5</f>
        <v>0</v>
      </c>
      <c r="N5" s="8"/>
      <c r="O5" s="23">
        <v>100</v>
      </c>
      <c r="P5" s="84">
        <f>O5*D5</f>
        <v>3278</v>
      </c>
      <c r="R5" s="23">
        <v>200</v>
      </c>
      <c r="S5" s="84">
        <f>R5*D5</f>
        <v>6556</v>
      </c>
      <c r="U5" s="23">
        <v>300</v>
      </c>
      <c r="V5" s="84">
        <f>U5*D5</f>
        <v>9834</v>
      </c>
    </row>
    <row r="6" spans="1:22" ht="16.5" customHeight="1" x14ac:dyDescent="0.4">
      <c r="A6" s="17"/>
      <c r="B6" s="85" t="s">
        <v>25</v>
      </c>
      <c r="C6"/>
      <c r="D6" s="8"/>
      <c r="E6" s="8"/>
      <c r="F6" s="8"/>
      <c r="G6" s="86">
        <f>G5</f>
        <v>0</v>
      </c>
      <c r="H6" s="8"/>
      <c r="I6" s="8"/>
      <c r="J6" s="86">
        <f>J5</f>
        <v>0</v>
      </c>
      <c r="K6" s="8"/>
      <c r="L6" s="8"/>
      <c r="M6" s="86">
        <f>M5</f>
        <v>0</v>
      </c>
      <c r="N6" s="8"/>
      <c r="O6" s="8"/>
      <c r="P6" s="86">
        <f>P5</f>
        <v>3278</v>
      </c>
      <c r="R6" s="8"/>
      <c r="S6" s="86">
        <f>S5</f>
        <v>6556</v>
      </c>
      <c r="U6" s="8"/>
      <c r="V6" s="86">
        <f>V5</f>
        <v>9834</v>
      </c>
    </row>
    <row r="7" spans="1:22" ht="35.1" customHeight="1" x14ac:dyDescent="0.4">
      <c r="A7" s="17"/>
      <c r="B7" s="77" t="s">
        <v>26</v>
      </c>
      <c r="C7" s="78" t="s">
        <v>3</v>
      </c>
      <c r="D7" s="79" t="s">
        <v>4</v>
      </c>
      <c r="E7" s="80"/>
      <c r="F7" s="79" t="s">
        <v>5</v>
      </c>
      <c r="G7" s="79" t="s">
        <v>6</v>
      </c>
      <c r="H7" s="81"/>
      <c r="I7" s="79" t="s">
        <v>5</v>
      </c>
      <c r="J7" s="79" t="s">
        <v>7</v>
      </c>
      <c r="K7" s="81"/>
      <c r="L7" s="79" t="s">
        <v>5</v>
      </c>
      <c r="M7" s="79" t="s">
        <v>6</v>
      </c>
      <c r="N7" s="82"/>
      <c r="O7" s="79" t="s">
        <v>5</v>
      </c>
      <c r="P7" s="79" t="s">
        <v>6</v>
      </c>
      <c r="R7" s="79" t="s">
        <v>5</v>
      </c>
      <c r="S7" s="79" t="s">
        <v>6</v>
      </c>
      <c r="U7" s="79" t="s">
        <v>5</v>
      </c>
      <c r="V7" s="79" t="s">
        <v>6</v>
      </c>
    </row>
    <row r="8" spans="1:22" ht="16.5" customHeight="1" x14ac:dyDescent="0.4">
      <c r="A8" s="17"/>
      <c r="B8" s="87" t="s">
        <v>66</v>
      </c>
      <c r="C8" s="88"/>
      <c r="D8" s="80"/>
      <c r="E8" s="80"/>
      <c r="F8" s="80"/>
      <c r="G8" s="80"/>
      <c r="H8" s="81"/>
      <c r="I8" s="80"/>
      <c r="J8" s="80"/>
      <c r="K8" s="81"/>
      <c r="L8" s="80"/>
      <c r="M8" s="80"/>
      <c r="N8" s="82"/>
      <c r="O8" s="80"/>
      <c r="P8" s="80"/>
      <c r="R8" s="80"/>
      <c r="S8" s="80"/>
      <c r="U8" s="80"/>
      <c r="V8" s="80"/>
    </row>
    <row r="9" spans="1:22" ht="16.5" customHeight="1" x14ac:dyDescent="0.4">
      <c r="A9" s="17"/>
      <c r="B9" s="8" t="s">
        <v>51</v>
      </c>
      <c r="C9" s="83" t="s">
        <v>8</v>
      </c>
      <c r="D9" s="18">
        <v>7.25</v>
      </c>
      <c r="E9" s="8"/>
      <c r="F9" s="19">
        <v>0</v>
      </c>
      <c r="G9" s="86">
        <f>F9*$D$9</f>
        <v>0</v>
      </c>
      <c r="H9" s="8"/>
      <c r="I9" s="19">
        <v>110</v>
      </c>
      <c r="J9" s="86">
        <f>I9*D9</f>
        <v>797.5</v>
      </c>
      <c r="K9" s="8"/>
      <c r="L9" s="23">
        <v>0</v>
      </c>
      <c r="M9" s="86">
        <f>L9*D9</f>
        <v>0</v>
      </c>
      <c r="N9" s="8"/>
      <c r="O9" s="19">
        <v>0</v>
      </c>
      <c r="P9" s="86">
        <f>O9*D9</f>
        <v>0</v>
      </c>
      <c r="R9" s="19">
        <v>0</v>
      </c>
      <c r="S9" s="86">
        <f>R9*$D$9</f>
        <v>0</v>
      </c>
      <c r="U9" s="19">
        <v>0</v>
      </c>
      <c r="V9" s="86">
        <f>U9*$D$9</f>
        <v>0</v>
      </c>
    </row>
    <row r="10" spans="1:22" ht="16.5" customHeight="1" x14ac:dyDescent="0.4">
      <c r="A10" s="17"/>
      <c r="B10" s="8" t="s">
        <v>55</v>
      </c>
      <c r="C10" s="83" t="s">
        <v>8</v>
      </c>
      <c r="D10" s="18">
        <v>1.1499999999999999</v>
      </c>
      <c r="E10" s="8"/>
      <c r="F10" s="19">
        <v>0</v>
      </c>
      <c r="G10" s="86">
        <f>F10*$D$9</f>
        <v>0</v>
      </c>
      <c r="H10" s="8"/>
      <c r="I10" s="19">
        <v>110</v>
      </c>
      <c r="J10" s="86">
        <f>I10*D10</f>
        <v>126.49999999999999</v>
      </c>
      <c r="K10" s="8"/>
      <c r="L10" s="23">
        <v>0</v>
      </c>
      <c r="M10" s="86">
        <f>L10*D10</f>
        <v>0</v>
      </c>
      <c r="N10" s="8"/>
      <c r="O10" s="19">
        <v>0</v>
      </c>
      <c r="P10" s="86">
        <f>O10*D10</f>
        <v>0</v>
      </c>
      <c r="R10" s="19">
        <v>0</v>
      </c>
      <c r="S10" s="86">
        <f>R10*$D$9</f>
        <v>0</v>
      </c>
      <c r="U10" s="19">
        <v>0</v>
      </c>
      <c r="V10" s="86">
        <f>U10*$D$9</f>
        <v>0</v>
      </c>
    </row>
    <row r="11" spans="1:22" ht="16.5" customHeight="1" x14ac:dyDescent="0.4">
      <c r="A11" s="17"/>
      <c r="B11" s="8" t="s">
        <v>58</v>
      </c>
      <c r="C11" s="83" t="s">
        <v>9</v>
      </c>
      <c r="D11" s="18">
        <v>15</v>
      </c>
      <c r="E11" s="8"/>
      <c r="F11" s="19">
        <v>2</v>
      </c>
      <c r="G11" s="86">
        <f>F11*$D11</f>
        <v>30</v>
      </c>
      <c r="H11" s="8"/>
      <c r="I11" s="19">
        <v>0</v>
      </c>
      <c r="J11" s="86">
        <f>I11*D11</f>
        <v>0</v>
      </c>
      <c r="K11" s="8"/>
      <c r="L11" s="23">
        <v>0</v>
      </c>
      <c r="M11" s="86">
        <f>L11*D11</f>
        <v>0</v>
      </c>
      <c r="N11" s="8"/>
      <c r="O11" s="19">
        <v>0</v>
      </c>
      <c r="P11" s="86">
        <f>O11*$D$11</f>
        <v>0</v>
      </c>
      <c r="R11" s="19">
        <v>0</v>
      </c>
      <c r="S11" s="86">
        <f>R11*$D$11</f>
        <v>0</v>
      </c>
      <c r="U11" s="19">
        <v>0</v>
      </c>
      <c r="V11" s="86">
        <f>U11*$D$11</f>
        <v>0</v>
      </c>
    </row>
    <row r="12" spans="1:22" ht="16.5" customHeight="1" x14ac:dyDescent="0.4">
      <c r="A12" s="17"/>
      <c r="B12" s="8" t="s">
        <v>60</v>
      </c>
      <c r="C12" s="83" t="s">
        <v>12</v>
      </c>
      <c r="D12" s="18">
        <v>3.1</v>
      </c>
      <c r="E12" s="8"/>
      <c r="F12" s="19">
        <v>15</v>
      </c>
      <c r="G12" s="86">
        <f>F12*$D12</f>
        <v>46.5</v>
      </c>
      <c r="H12" s="8"/>
      <c r="I12" s="19">
        <v>0</v>
      </c>
      <c r="J12" s="86">
        <f>I12*$D12</f>
        <v>0</v>
      </c>
      <c r="K12" s="8"/>
      <c r="L12" s="23">
        <v>0</v>
      </c>
      <c r="M12" s="86">
        <f>L12*$D12</f>
        <v>0</v>
      </c>
      <c r="N12" s="8"/>
      <c r="O12" s="19">
        <v>0</v>
      </c>
      <c r="P12" s="86">
        <f>O12*$D12</f>
        <v>0</v>
      </c>
      <c r="R12" s="19">
        <v>0</v>
      </c>
      <c r="S12" s="86">
        <f>R12*$D12</f>
        <v>0</v>
      </c>
      <c r="U12" s="19">
        <v>0</v>
      </c>
      <c r="V12" s="86">
        <f>U12*$D12</f>
        <v>0</v>
      </c>
    </row>
    <row r="13" spans="1:22" ht="16.5" customHeight="1" x14ac:dyDescent="0.4">
      <c r="A13" s="17"/>
      <c r="B13" s="8" t="s">
        <v>11</v>
      </c>
      <c r="C13" s="83" t="s">
        <v>10</v>
      </c>
      <c r="D13" s="89"/>
      <c r="E13" s="8"/>
      <c r="F13" s="90"/>
      <c r="G13" s="22">
        <v>143.80000000000001</v>
      </c>
      <c r="H13" s="8"/>
      <c r="I13" s="90"/>
      <c r="J13" s="22">
        <v>54.68</v>
      </c>
      <c r="K13" s="8"/>
      <c r="L13" s="91"/>
      <c r="M13" s="22">
        <v>100.92</v>
      </c>
      <c r="N13" s="8"/>
      <c r="O13" s="90"/>
      <c r="P13" s="22">
        <v>152.59</v>
      </c>
      <c r="S13" s="22">
        <v>203.46</v>
      </c>
      <c r="V13" s="22">
        <v>254.32</v>
      </c>
    </row>
    <row r="14" spans="1:22" ht="16.5" customHeight="1" x14ac:dyDescent="0.4">
      <c r="A14" s="17"/>
      <c r="B14" s="8" t="s">
        <v>13</v>
      </c>
      <c r="C14" s="83" t="s">
        <v>10</v>
      </c>
      <c r="D14" s="89"/>
      <c r="E14" s="8"/>
      <c r="F14" s="90"/>
      <c r="G14" s="22">
        <v>0</v>
      </c>
      <c r="H14" s="8"/>
      <c r="I14" s="90"/>
      <c r="J14" s="22">
        <v>75.91</v>
      </c>
      <c r="K14" s="8"/>
      <c r="L14" s="91"/>
      <c r="M14" s="22">
        <v>75.91</v>
      </c>
      <c r="N14" s="8"/>
      <c r="O14" s="90"/>
      <c r="P14" s="22">
        <v>376.02</v>
      </c>
      <c r="S14" s="22">
        <v>376.02</v>
      </c>
      <c r="V14" s="22">
        <v>376.02</v>
      </c>
    </row>
    <row r="15" spans="1:22" ht="16.5" customHeight="1" x14ac:dyDescent="0.4">
      <c r="A15" s="17"/>
      <c r="B15" s="8" t="s">
        <v>14</v>
      </c>
      <c r="C15" s="83" t="s">
        <v>10</v>
      </c>
      <c r="D15" s="89"/>
      <c r="E15" s="8"/>
      <c r="F15" s="90"/>
      <c r="G15" s="22">
        <v>0</v>
      </c>
      <c r="H15" s="8"/>
      <c r="I15" s="90"/>
      <c r="J15" s="22">
        <v>59.47</v>
      </c>
      <c r="K15" s="8"/>
      <c r="L15" s="91"/>
      <c r="M15" s="22">
        <v>59.47</v>
      </c>
      <c r="N15" s="8"/>
      <c r="O15" s="90"/>
      <c r="P15" s="22">
        <v>199.8</v>
      </c>
      <c r="S15" s="22">
        <v>199.8</v>
      </c>
      <c r="V15" s="22">
        <v>199.8</v>
      </c>
    </row>
    <row r="16" spans="1:22" ht="16.5" customHeight="1" x14ac:dyDescent="0.4">
      <c r="A16" s="17"/>
      <c r="B16" s="8" t="s">
        <v>15</v>
      </c>
      <c r="C16" s="83" t="s">
        <v>10</v>
      </c>
      <c r="D16" s="89"/>
      <c r="E16" s="8"/>
      <c r="F16" s="90"/>
      <c r="G16" s="22">
        <v>19.899999999999999</v>
      </c>
      <c r="H16" s="8"/>
      <c r="I16" s="90"/>
      <c r="J16" s="22">
        <v>103.68</v>
      </c>
      <c r="K16" s="8"/>
      <c r="L16" s="91"/>
      <c r="M16" s="22">
        <v>123.6881751238675</v>
      </c>
      <c r="N16" s="8"/>
      <c r="O16" s="90"/>
      <c r="P16" s="22">
        <v>137.06</v>
      </c>
      <c r="S16" s="22">
        <v>137.06</v>
      </c>
      <c r="V16" s="22">
        <v>137.06</v>
      </c>
    </row>
    <row r="17" spans="1:22" ht="16.5" customHeight="1" x14ac:dyDescent="0.4">
      <c r="A17" s="17"/>
      <c r="B17" s="8" t="s">
        <v>16</v>
      </c>
      <c r="C17" s="83" t="s">
        <v>17</v>
      </c>
      <c r="D17" s="18">
        <v>0.06</v>
      </c>
      <c r="E17" s="8"/>
      <c r="F17" s="19">
        <v>0</v>
      </c>
      <c r="G17" s="86">
        <f>F17*D17</f>
        <v>0</v>
      </c>
      <c r="H17" s="8"/>
      <c r="I17" s="19">
        <v>4133</v>
      </c>
      <c r="J17" s="86">
        <f>I17*D17</f>
        <v>247.98</v>
      </c>
      <c r="K17" s="8"/>
      <c r="L17" s="23">
        <v>0</v>
      </c>
      <c r="M17" s="86">
        <f>L17*D17</f>
        <v>0</v>
      </c>
      <c r="N17" s="8"/>
      <c r="O17" s="19">
        <v>0</v>
      </c>
      <c r="P17" s="86">
        <f>O17*D17</f>
        <v>0</v>
      </c>
      <c r="R17" s="19">
        <v>0</v>
      </c>
      <c r="S17" s="86">
        <f>R17*$D$17</f>
        <v>0</v>
      </c>
      <c r="U17" s="19">
        <v>0</v>
      </c>
      <c r="V17" s="86">
        <f>U17*$D$17</f>
        <v>0</v>
      </c>
    </row>
    <row r="18" spans="1:22" ht="16.5" customHeight="1" x14ac:dyDescent="0.4">
      <c r="A18" s="17"/>
      <c r="B18" s="8" t="s">
        <v>52</v>
      </c>
      <c r="C18" s="83" t="s">
        <v>57</v>
      </c>
      <c r="D18" s="18">
        <v>41.33</v>
      </c>
      <c r="E18" s="8"/>
      <c r="F18" s="19">
        <v>0</v>
      </c>
      <c r="G18" s="86">
        <f>F18*$D18</f>
        <v>0</v>
      </c>
      <c r="H18" s="8"/>
      <c r="I18" s="19">
        <v>0</v>
      </c>
      <c r="J18" s="86">
        <f>I18*$D$18</f>
        <v>0</v>
      </c>
      <c r="K18" s="8"/>
      <c r="L18" s="23">
        <v>0</v>
      </c>
      <c r="M18" s="86">
        <f>L18*$D$18</f>
        <v>0</v>
      </c>
      <c r="N18" s="8"/>
      <c r="O18" s="19">
        <v>5</v>
      </c>
      <c r="P18" s="86">
        <f>O18*$D$18</f>
        <v>206.64999999999998</v>
      </c>
      <c r="R18" s="19">
        <v>5</v>
      </c>
      <c r="S18" s="86">
        <f>R18*$D$18</f>
        <v>206.64999999999998</v>
      </c>
      <c r="U18" s="19">
        <v>5</v>
      </c>
      <c r="V18" s="86">
        <f>U18*$D$18</f>
        <v>206.64999999999998</v>
      </c>
    </row>
    <row r="19" spans="1:22" ht="16.5" customHeight="1" x14ac:dyDescent="0.4">
      <c r="A19" s="17"/>
      <c r="B19" s="8" t="s">
        <v>59</v>
      </c>
      <c r="C19" s="83" t="s">
        <v>57</v>
      </c>
      <c r="D19" s="18">
        <v>100</v>
      </c>
      <c r="E19" s="8"/>
      <c r="F19" s="19">
        <v>0</v>
      </c>
      <c r="G19" s="86">
        <f>F19*$D19</f>
        <v>0</v>
      </c>
      <c r="H19" s="8"/>
      <c r="I19" s="19">
        <v>0</v>
      </c>
      <c r="J19" s="86">
        <f>I19*$D19</f>
        <v>0</v>
      </c>
      <c r="K19" s="8"/>
      <c r="L19" s="23">
        <v>0</v>
      </c>
      <c r="M19" s="86">
        <f>L19*$D19</f>
        <v>0</v>
      </c>
      <c r="N19" s="8"/>
      <c r="O19" s="19">
        <v>1</v>
      </c>
      <c r="P19" s="86">
        <f>O19*$D19</f>
        <v>100</v>
      </c>
      <c r="R19" s="19">
        <v>1</v>
      </c>
      <c r="S19" s="86">
        <f>R19*$D19</f>
        <v>100</v>
      </c>
      <c r="U19" s="19">
        <v>1</v>
      </c>
      <c r="V19" s="86">
        <f>U19*$D19</f>
        <v>100</v>
      </c>
    </row>
    <row r="20" spans="1:22" ht="16.5" customHeight="1" x14ac:dyDescent="0.4">
      <c r="A20" s="17"/>
      <c r="B20" s="8" t="s">
        <v>62</v>
      </c>
      <c r="C20" s="83" t="s">
        <v>76</v>
      </c>
      <c r="D20" s="18">
        <v>15.71</v>
      </c>
      <c r="E20" s="8"/>
      <c r="F20" s="19">
        <v>0</v>
      </c>
      <c r="G20" s="86">
        <f>F20*D20</f>
        <v>0</v>
      </c>
      <c r="H20" s="8"/>
      <c r="I20" s="19">
        <v>20</v>
      </c>
      <c r="J20" s="86">
        <f>I20*D20</f>
        <v>314.20000000000005</v>
      </c>
      <c r="K20" s="8"/>
      <c r="L20" s="23">
        <v>18</v>
      </c>
      <c r="M20" s="86">
        <f>L20*D20</f>
        <v>282.78000000000003</v>
      </c>
      <c r="N20" s="8"/>
      <c r="O20" s="19">
        <v>5</v>
      </c>
      <c r="P20" s="86">
        <f>O20*D20</f>
        <v>78.550000000000011</v>
      </c>
      <c r="R20" s="19">
        <v>5</v>
      </c>
      <c r="S20" s="86">
        <f>R20*$D20</f>
        <v>78.550000000000011</v>
      </c>
      <c r="U20" s="19">
        <v>5</v>
      </c>
      <c r="V20" s="86">
        <f>U20*$D20</f>
        <v>78.550000000000011</v>
      </c>
    </row>
    <row r="21" spans="1:22" ht="16.5" customHeight="1" x14ac:dyDescent="0.4">
      <c r="A21" s="17"/>
      <c r="B21" s="8" t="s">
        <v>63</v>
      </c>
      <c r="C21" s="83" t="s">
        <v>10</v>
      </c>
      <c r="D21" s="8"/>
      <c r="E21" s="8"/>
      <c r="F21" s="90"/>
      <c r="G21" s="22">
        <v>46.51</v>
      </c>
      <c r="H21" s="8"/>
      <c r="I21" s="90"/>
      <c r="J21" s="22">
        <v>110.68</v>
      </c>
      <c r="K21" s="8"/>
      <c r="L21" s="91"/>
      <c r="M21" s="22">
        <v>21.37</v>
      </c>
      <c r="N21" s="8"/>
      <c r="O21" s="90"/>
      <c r="P21" s="22">
        <v>41.39</v>
      </c>
      <c r="S21" s="22">
        <v>41.39</v>
      </c>
      <c r="V21" s="22">
        <v>41.39</v>
      </c>
    </row>
    <row r="22" spans="1:22" ht="16.5" customHeight="1" x14ac:dyDescent="0.4">
      <c r="A22" s="17"/>
      <c r="B22" s="8" t="s">
        <v>68</v>
      </c>
      <c r="C22" s="83" t="s">
        <v>19</v>
      </c>
      <c r="D22" s="21">
        <v>7.7499999999999999E-2</v>
      </c>
      <c r="E22" s="8"/>
      <c r="F22" s="90"/>
      <c r="G22" s="86">
        <f>SUM(G9:G21)*$D$22*6/12</f>
        <v>11.110012500000002</v>
      </c>
      <c r="H22" s="8"/>
      <c r="I22" s="90"/>
      <c r="J22" s="86">
        <f>SUM(J9:J21)*$D$22*6/12</f>
        <v>73.260750000000002</v>
      </c>
      <c r="K22" s="8"/>
      <c r="L22" s="91"/>
      <c r="M22" s="86">
        <f>SUM(M9:M21)*$D$22*6/12</f>
        <v>25.735354286049859</v>
      </c>
      <c r="N22" s="8"/>
      <c r="O22" s="90"/>
      <c r="P22" s="86">
        <f>SUM(P9:P21)*$D$22*6/12</f>
        <v>50.067325000000004</v>
      </c>
      <c r="S22" s="86">
        <f>SUM(S9:S21)*$D$22*6/12</f>
        <v>52.038537499999997</v>
      </c>
      <c r="V22" s="86">
        <f>SUM(V9:V21)*$D$22*6/12</f>
        <v>54.009362500000002</v>
      </c>
    </row>
    <row r="23" spans="1:22" ht="16.5" customHeight="1" x14ac:dyDescent="0.4">
      <c r="A23" s="17"/>
      <c r="B23" s="87" t="s">
        <v>67</v>
      </c>
      <c r="C23" s="83"/>
      <c r="D23" s="89"/>
      <c r="E23" s="8"/>
      <c r="F23" s="90"/>
      <c r="G23" s="86"/>
      <c r="H23" s="8"/>
      <c r="I23" s="90"/>
      <c r="J23" s="8"/>
      <c r="K23" s="8"/>
      <c r="L23" s="91"/>
      <c r="M23" s="8"/>
      <c r="N23" s="8"/>
      <c r="O23" s="90"/>
      <c r="P23" s="8"/>
    </row>
    <row r="24" spans="1:22" ht="16.5" customHeight="1" x14ac:dyDescent="0.4">
      <c r="A24" s="17"/>
      <c r="B24" s="8" t="s">
        <v>61</v>
      </c>
      <c r="C24" s="83" t="s">
        <v>76</v>
      </c>
      <c r="D24" s="18">
        <v>18.86</v>
      </c>
      <c r="E24" s="8"/>
      <c r="F24" s="19">
        <v>2</v>
      </c>
      <c r="G24" s="86">
        <f>F24*D24</f>
        <v>37.72</v>
      </c>
      <c r="H24" s="8"/>
      <c r="I24" s="19">
        <v>11.45</v>
      </c>
      <c r="J24" s="86">
        <f>I24*D24</f>
        <v>215.94699999999997</v>
      </c>
      <c r="K24" s="8"/>
      <c r="L24" s="23">
        <v>12</v>
      </c>
      <c r="M24" s="86">
        <f>L24*D24</f>
        <v>226.32</v>
      </c>
      <c r="N24" s="8"/>
      <c r="O24" s="19">
        <v>64.75</v>
      </c>
      <c r="P24" s="86">
        <f>O24*$D$24</f>
        <v>1221.1849999999999</v>
      </c>
      <c r="R24" s="19">
        <v>76.75</v>
      </c>
      <c r="S24" s="86">
        <f>R24*$D24</f>
        <v>1447.5049999999999</v>
      </c>
      <c r="U24" s="19">
        <v>76.75</v>
      </c>
      <c r="V24" s="86">
        <f>U24*$D24</f>
        <v>1447.5049999999999</v>
      </c>
    </row>
    <row r="25" spans="1:22" ht="16.5" customHeight="1" x14ac:dyDescent="0.4">
      <c r="A25" s="17"/>
      <c r="B25" s="8" t="s">
        <v>64</v>
      </c>
      <c r="C25" s="83" t="s">
        <v>76</v>
      </c>
      <c r="D25" s="18">
        <v>15.71</v>
      </c>
      <c r="E25" s="8"/>
      <c r="F25" s="19">
        <v>0</v>
      </c>
      <c r="G25" s="86">
        <f>F25*D25</f>
        <v>0</v>
      </c>
      <c r="H25" s="8"/>
      <c r="I25" s="19">
        <v>0</v>
      </c>
      <c r="J25" s="86">
        <f>I25*D25</f>
        <v>0</v>
      </c>
      <c r="K25" s="8"/>
      <c r="L25" s="23">
        <v>0</v>
      </c>
      <c r="M25" s="86">
        <f>L25*D25</f>
        <v>0</v>
      </c>
      <c r="N25" s="8"/>
      <c r="O25" s="19">
        <v>20</v>
      </c>
      <c r="P25" s="86">
        <f>O25*D25</f>
        <v>314.20000000000005</v>
      </c>
      <c r="R25" s="19">
        <v>40</v>
      </c>
      <c r="S25" s="86">
        <f>R25*$D25</f>
        <v>628.40000000000009</v>
      </c>
      <c r="U25" s="19">
        <v>60</v>
      </c>
      <c r="V25" s="86">
        <f>U25*$D25</f>
        <v>942.6</v>
      </c>
    </row>
    <row r="26" spans="1:22" ht="16.5" customHeight="1" x14ac:dyDescent="0.4">
      <c r="A26" s="17"/>
      <c r="B26" s="8" t="s">
        <v>56</v>
      </c>
      <c r="C26" s="83" t="s">
        <v>8</v>
      </c>
      <c r="D26" s="18">
        <v>7.9000000000000001E-2</v>
      </c>
      <c r="E26" s="8"/>
      <c r="F26" s="19">
        <v>0</v>
      </c>
      <c r="G26" s="86">
        <f>F26*D26</f>
        <v>0</v>
      </c>
      <c r="H26" s="8"/>
      <c r="I26" s="19">
        <v>0</v>
      </c>
      <c r="J26" s="86">
        <f>I26*D26</f>
        <v>0</v>
      </c>
      <c r="K26" s="8"/>
      <c r="L26" s="23">
        <v>0</v>
      </c>
      <c r="M26" s="86">
        <f>L26*D26</f>
        <v>0</v>
      </c>
      <c r="N26" s="8"/>
      <c r="O26" s="19">
        <v>800</v>
      </c>
      <c r="P26" s="86">
        <f>O26*$D26</f>
        <v>63.2</v>
      </c>
      <c r="R26" s="19">
        <v>1600</v>
      </c>
      <c r="S26" s="86">
        <f>R26*$D26</f>
        <v>126.4</v>
      </c>
      <c r="U26" s="19">
        <v>2400</v>
      </c>
      <c r="V26" s="86">
        <f>U26*$D26</f>
        <v>189.6</v>
      </c>
    </row>
    <row r="27" spans="1:22" ht="16.5" customHeight="1" x14ac:dyDescent="0.4">
      <c r="A27" s="17"/>
      <c r="B27" s="8" t="s">
        <v>65</v>
      </c>
      <c r="C27" s="92" t="s">
        <v>69</v>
      </c>
      <c r="D27" s="18">
        <v>1.64</v>
      </c>
      <c r="F27" s="19">
        <v>0</v>
      </c>
      <c r="G27" s="86">
        <f>F27*D27</f>
        <v>0</v>
      </c>
      <c r="I27" s="19">
        <v>0</v>
      </c>
      <c r="J27" s="86">
        <f>I27*D27</f>
        <v>0</v>
      </c>
      <c r="K27" s="8"/>
      <c r="L27" s="23">
        <v>0</v>
      </c>
      <c r="M27" s="86">
        <f>L27*D27</f>
        <v>0</v>
      </c>
      <c r="N27" s="8"/>
      <c r="O27" s="19">
        <v>30</v>
      </c>
      <c r="P27" s="86">
        <f>O27*$D27</f>
        <v>49.199999999999996</v>
      </c>
      <c r="R27" s="19">
        <v>30</v>
      </c>
      <c r="S27" s="86">
        <f>R27*$D27</f>
        <v>49.199999999999996</v>
      </c>
      <c r="U27" s="19">
        <v>30</v>
      </c>
      <c r="V27" s="86">
        <f>U27*$D27</f>
        <v>49.199999999999996</v>
      </c>
    </row>
    <row r="28" spans="1:22" ht="16.5" customHeight="1" x14ac:dyDescent="0.4">
      <c r="A28" s="17"/>
      <c r="B28" s="8" t="s">
        <v>18</v>
      </c>
      <c r="C28" s="92" t="s">
        <v>48</v>
      </c>
      <c r="D28" s="20">
        <v>0.1</v>
      </c>
      <c r="E28" s="93"/>
      <c r="F28" s="90">
        <f>G6</f>
        <v>0</v>
      </c>
      <c r="G28" s="84">
        <f>F28*D28</f>
        <v>0</v>
      </c>
      <c r="H28" s="8"/>
      <c r="I28" s="90">
        <f>J6</f>
        <v>0</v>
      </c>
      <c r="J28" s="84">
        <f>I28*D28</f>
        <v>0</v>
      </c>
      <c r="K28" s="8"/>
      <c r="L28" s="91">
        <f>M6</f>
        <v>0</v>
      </c>
      <c r="M28" s="84">
        <f>L28*D28</f>
        <v>0</v>
      </c>
      <c r="N28" s="8"/>
      <c r="O28" s="90">
        <f>P6</f>
        <v>3278</v>
      </c>
      <c r="P28" s="84">
        <f>O28*$D$28</f>
        <v>327.8</v>
      </c>
      <c r="R28" s="90">
        <f>S6</f>
        <v>6556</v>
      </c>
      <c r="S28" s="84">
        <f>R28*$D$28</f>
        <v>655.6</v>
      </c>
      <c r="U28" s="90">
        <f>V6</f>
        <v>9834</v>
      </c>
      <c r="V28" s="84">
        <f>U28*$D$28</f>
        <v>983.40000000000009</v>
      </c>
    </row>
    <row r="29" spans="1:22" ht="16.5" customHeight="1" x14ac:dyDescent="0.35">
      <c r="B29" s="85" t="s">
        <v>27</v>
      </c>
      <c r="C29" s="83"/>
      <c r="D29" s="8"/>
      <c r="E29" s="8"/>
      <c r="F29" s="94"/>
      <c r="G29" s="86">
        <f>SUM(G9:G28)</f>
        <v>335.54001249999999</v>
      </c>
      <c r="H29" s="86"/>
      <c r="I29" s="86"/>
      <c r="J29" s="86">
        <f>SUM(J9:J28)</f>
        <v>2179.8077499999999</v>
      </c>
      <c r="K29" s="86"/>
      <c r="L29" s="86"/>
      <c r="M29" s="86">
        <f>SUM(M9:M28)</f>
        <v>916.19352940991735</v>
      </c>
      <c r="N29" s="86"/>
      <c r="O29" s="90"/>
      <c r="P29" s="86">
        <f>SUM(P9:P28)</f>
        <v>3317.7123249999995</v>
      </c>
      <c r="S29" s="86">
        <f>SUM(S9:S28)</f>
        <v>4302.0735375000004</v>
      </c>
      <c r="V29" s="86">
        <f>SUM(V9:V28)</f>
        <v>5060.1043625000002</v>
      </c>
    </row>
    <row r="30" spans="1:22" ht="35.1" customHeight="1" x14ac:dyDescent="0.35">
      <c r="B30" s="77" t="s">
        <v>28</v>
      </c>
      <c r="C30" s="78" t="s">
        <v>3</v>
      </c>
      <c r="D30" s="79" t="s">
        <v>4</v>
      </c>
      <c r="E30" s="80"/>
      <c r="F30" s="79" t="s">
        <v>5</v>
      </c>
      <c r="G30" s="79" t="s">
        <v>6</v>
      </c>
      <c r="H30" s="81"/>
      <c r="I30" s="79" t="s">
        <v>5</v>
      </c>
      <c r="J30" s="79" t="s">
        <v>7</v>
      </c>
      <c r="K30" s="81"/>
      <c r="L30" s="79" t="s">
        <v>5</v>
      </c>
      <c r="M30" s="79" t="s">
        <v>6</v>
      </c>
      <c r="N30" s="82"/>
      <c r="O30" s="79" t="s">
        <v>5</v>
      </c>
      <c r="P30" s="79" t="s">
        <v>6</v>
      </c>
      <c r="R30" s="79" t="s">
        <v>5</v>
      </c>
      <c r="S30" s="79" t="s">
        <v>6</v>
      </c>
      <c r="U30" s="79" t="s">
        <v>5</v>
      </c>
      <c r="V30" s="79" t="s">
        <v>6</v>
      </c>
    </row>
    <row r="31" spans="1:22" ht="16.2" x14ac:dyDescent="0.35">
      <c r="B31" s="8" t="s">
        <v>20</v>
      </c>
      <c r="C31" s="83" t="s">
        <v>10</v>
      </c>
      <c r="D31" s="22">
        <v>185</v>
      </c>
      <c r="E31" s="8"/>
      <c r="F31" s="19">
        <v>1</v>
      </c>
      <c r="G31" s="86">
        <f>$D$31*F31</f>
        <v>185</v>
      </c>
      <c r="H31" s="8"/>
      <c r="I31" s="19">
        <v>1</v>
      </c>
      <c r="J31" s="86">
        <f>$D$31*I31</f>
        <v>185</v>
      </c>
      <c r="K31" s="8"/>
      <c r="L31" s="19">
        <v>1</v>
      </c>
      <c r="M31" s="86">
        <f>$D$31*L31</f>
        <v>185</v>
      </c>
      <c r="N31" s="8"/>
      <c r="O31" s="19">
        <v>1</v>
      </c>
      <c r="P31" s="86">
        <f>$D$31*O31</f>
        <v>185</v>
      </c>
      <c r="R31" s="19">
        <v>1</v>
      </c>
      <c r="S31" s="86">
        <f>$D$31*R31</f>
        <v>185</v>
      </c>
      <c r="U31" s="19">
        <v>1</v>
      </c>
      <c r="V31" s="86">
        <f>$D$31*U31</f>
        <v>185</v>
      </c>
    </row>
    <row r="32" spans="1:22" ht="16.5" customHeight="1" x14ac:dyDescent="0.35">
      <c r="B32" s="8" t="s">
        <v>52</v>
      </c>
      <c r="C32" s="83" t="s">
        <v>10</v>
      </c>
      <c r="D32" s="22">
        <v>314.14</v>
      </c>
      <c r="E32" s="8"/>
      <c r="F32" s="19">
        <v>0</v>
      </c>
      <c r="G32" s="86">
        <f>$D$32*F32</f>
        <v>0</v>
      </c>
      <c r="H32" s="8"/>
      <c r="I32" s="23">
        <v>1</v>
      </c>
      <c r="J32" s="86">
        <f>$D$32*I32</f>
        <v>314.14</v>
      </c>
      <c r="K32" s="8"/>
      <c r="L32" s="19">
        <v>1</v>
      </c>
      <c r="M32" s="86">
        <f>$D$32*L32</f>
        <v>314.14</v>
      </c>
      <c r="N32" s="8"/>
      <c r="O32" s="19">
        <v>1</v>
      </c>
      <c r="P32" s="86">
        <f>$D$32*O32</f>
        <v>314.14</v>
      </c>
      <c r="R32" s="19">
        <v>1</v>
      </c>
      <c r="S32" s="86">
        <f>$D$32*R32</f>
        <v>314.14</v>
      </c>
      <c r="U32" s="19">
        <v>1</v>
      </c>
      <c r="V32" s="86">
        <f>$D$32*U32</f>
        <v>314.14</v>
      </c>
    </row>
    <row r="33" spans="2:22" ht="16.2" x14ac:dyDescent="0.35">
      <c r="B33" s="8" t="s">
        <v>53</v>
      </c>
      <c r="C33" s="83" t="s">
        <v>10</v>
      </c>
      <c r="D33" s="22">
        <v>650</v>
      </c>
      <c r="E33" s="8"/>
      <c r="F33" s="19">
        <v>0</v>
      </c>
      <c r="G33" s="86">
        <f>$D$33*F33</f>
        <v>0</v>
      </c>
      <c r="H33" s="8"/>
      <c r="I33" s="19">
        <v>0</v>
      </c>
      <c r="J33" s="86">
        <f>$D$33*I33</f>
        <v>0</v>
      </c>
      <c r="K33" s="8"/>
      <c r="L33" s="19">
        <v>0</v>
      </c>
      <c r="M33" s="86">
        <f>$D$33*L33</f>
        <v>0</v>
      </c>
      <c r="N33" s="8"/>
      <c r="O33" s="19">
        <v>1</v>
      </c>
      <c r="P33" s="86">
        <f>$D$33*O33</f>
        <v>650</v>
      </c>
      <c r="R33" s="19">
        <v>1</v>
      </c>
      <c r="S33" s="86">
        <f>$D$33*R33</f>
        <v>650</v>
      </c>
      <c r="U33" s="19">
        <v>1</v>
      </c>
      <c r="V33" s="86">
        <f>$D$33*U33</f>
        <v>650</v>
      </c>
    </row>
    <row r="34" spans="2:22" ht="16.2" x14ac:dyDescent="0.35">
      <c r="B34" s="8" t="s">
        <v>54</v>
      </c>
      <c r="C34" s="83" t="s">
        <v>10</v>
      </c>
      <c r="D34" s="8"/>
      <c r="E34" s="8"/>
      <c r="F34" s="8"/>
      <c r="G34" s="24">
        <v>42.8</v>
      </c>
      <c r="H34" s="8"/>
      <c r="I34" s="8"/>
      <c r="J34" s="24">
        <v>37.1</v>
      </c>
      <c r="K34" s="8"/>
      <c r="L34" s="8"/>
      <c r="M34" s="24">
        <v>29.25</v>
      </c>
      <c r="N34" s="8"/>
      <c r="O34" s="8"/>
      <c r="P34" s="24">
        <v>52.8</v>
      </c>
      <c r="R34" s="8"/>
      <c r="S34" s="24">
        <v>52.8</v>
      </c>
      <c r="U34" s="8"/>
      <c r="V34" s="24">
        <v>52.8</v>
      </c>
    </row>
    <row r="35" spans="2:22" ht="16.2" x14ac:dyDescent="0.35">
      <c r="B35" s="85" t="s">
        <v>29</v>
      </c>
      <c r="C35"/>
      <c r="D35" s="8"/>
      <c r="E35" s="8"/>
      <c r="F35" s="8"/>
      <c r="G35" s="86">
        <f>SUM(G31:G34)</f>
        <v>227.8</v>
      </c>
      <c r="H35" s="8"/>
      <c r="I35" s="8"/>
      <c r="J35" s="86">
        <f>SUM(J31:J34)</f>
        <v>536.24</v>
      </c>
      <c r="K35" s="8"/>
      <c r="L35" s="8"/>
      <c r="M35" s="86">
        <f>SUM(M31:M34)</f>
        <v>528.39</v>
      </c>
      <c r="N35" s="8"/>
      <c r="O35" s="8"/>
      <c r="P35" s="86">
        <f>SUM(P31:P34)</f>
        <v>1201.9399999999998</v>
      </c>
      <c r="R35" s="8"/>
      <c r="S35" s="86">
        <f>SUM(S31:S34)</f>
        <v>1201.9399999999998</v>
      </c>
      <c r="U35" s="8"/>
      <c r="V35" s="86">
        <f>SUM(V31:V34)</f>
        <v>1201.9399999999998</v>
      </c>
    </row>
    <row r="36" spans="2:22" ht="16.2" x14ac:dyDescent="0.35">
      <c r="B36" s="95" t="s">
        <v>21</v>
      </c>
      <c r="C36" s="27"/>
      <c r="D36" s="96"/>
      <c r="E36" s="96"/>
      <c r="F36" s="96"/>
      <c r="G36" s="84">
        <f>G29+G35</f>
        <v>563.34001250000006</v>
      </c>
      <c r="H36" s="84"/>
      <c r="I36" s="84"/>
      <c r="J36" s="84">
        <f>J29+J35</f>
        <v>2716.0477499999997</v>
      </c>
      <c r="K36" s="84"/>
      <c r="L36" s="84"/>
      <c r="M36" s="84">
        <f>M29+M35</f>
        <v>1444.5835294099174</v>
      </c>
      <c r="N36" s="84"/>
      <c r="O36" s="84"/>
      <c r="P36" s="84">
        <f>P29+P35</f>
        <v>4519.6523249999991</v>
      </c>
      <c r="Q36" s="97"/>
      <c r="R36" s="84"/>
      <c r="S36" s="84">
        <f>S29+S35</f>
        <v>5504.0135375</v>
      </c>
      <c r="T36" s="97"/>
      <c r="U36" s="84"/>
      <c r="V36" s="84">
        <f>V29+V35</f>
        <v>6262.0443624999998</v>
      </c>
    </row>
    <row r="37" spans="2:22" ht="16.5" customHeight="1" x14ac:dyDescent="0.35">
      <c r="B37" s="133" t="s">
        <v>30</v>
      </c>
      <c r="C37" s="133"/>
      <c r="D37" s="8"/>
      <c r="E37" s="8"/>
      <c r="F37" s="8"/>
      <c r="G37" s="86">
        <f>G6-G29</f>
        <v>-335.54001249999999</v>
      </c>
      <c r="H37" s="86"/>
      <c r="I37" s="86"/>
      <c r="J37" s="86">
        <f>J6-J29</f>
        <v>-2179.8077499999999</v>
      </c>
      <c r="K37" s="86"/>
      <c r="L37" s="86"/>
      <c r="M37" s="86">
        <f>M6-M29</f>
        <v>-916.19352940991735</v>
      </c>
      <c r="N37" s="86"/>
      <c r="O37" s="86"/>
      <c r="P37" s="86">
        <f>P6-P29</f>
        <v>-39.71232499999951</v>
      </c>
      <c r="R37" s="86"/>
      <c r="S37" s="86">
        <f>S6-S29</f>
        <v>2253.9264624999996</v>
      </c>
      <c r="U37" s="86"/>
      <c r="V37" s="86">
        <f>V6-V29</f>
        <v>4773.8956374999998</v>
      </c>
    </row>
    <row r="38" spans="2:22" ht="16.5" customHeight="1" thickBot="1" x14ac:dyDescent="0.4">
      <c r="B38" s="134" t="s">
        <v>22</v>
      </c>
      <c r="C38" s="134"/>
      <c r="D38" s="98"/>
      <c r="E38" s="98"/>
      <c r="F38" s="98"/>
      <c r="G38" s="99">
        <f>G6-G36</f>
        <v>-563.34001250000006</v>
      </c>
      <c r="H38" s="99"/>
      <c r="I38" s="99"/>
      <c r="J38" s="99">
        <f>J6-J36</f>
        <v>-2716.0477499999997</v>
      </c>
      <c r="K38" s="99"/>
      <c r="L38" s="99"/>
      <c r="M38" s="99">
        <f>M6-M36</f>
        <v>-1444.5835294099174</v>
      </c>
      <c r="N38" s="99"/>
      <c r="O38" s="99"/>
      <c r="P38" s="99">
        <f>P6-P36</f>
        <v>-1241.6523249999991</v>
      </c>
      <c r="Q38" s="100"/>
      <c r="R38" s="99"/>
      <c r="S38" s="99">
        <f>S6-S36</f>
        <v>1051.9864625</v>
      </c>
      <c r="T38" s="100"/>
      <c r="U38" s="99"/>
      <c r="V38" s="99">
        <f>V6-V36</f>
        <v>3571.9556375000002</v>
      </c>
    </row>
    <row r="39" spans="2:22" ht="16.5" customHeight="1" thickTop="1" x14ac:dyDescent="0.35">
      <c r="B39" s="83" t="s">
        <v>49</v>
      </c>
      <c r="C39"/>
      <c r="D39"/>
      <c r="E39"/>
      <c r="F39"/>
      <c r="G39"/>
      <c r="H39"/>
      <c r="I39"/>
      <c r="J39"/>
      <c r="K39"/>
      <c r="L39"/>
      <c r="M39"/>
      <c r="N39"/>
      <c r="O39"/>
      <c r="P39"/>
    </row>
    <row r="40" spans="2:22" ht="15.6" hidden="1" customHeight="1" x14ac:dyDescent="0.35">
      <c r="B40"/>
      <c r="C40"/>
      <c r="D40"/>
      <c r="E40"/>
      <c r="F40"/>
      <c r="G40"/>
      <c r="H40"/>
      <c r="I40"/>
      <c r="J40"/>
      <c r="K40"/>
      <c r="L40"/>
      <c r="M40"/>
      <c r="N40"/>
      <c r="O40"/>
      <c r="P40"/>
    </row>
    <row r="41" spans="2:22" ht="16.5" hidden="1" customHeight="1" x14ac:dyDescent="0.35">
      <c r="B41" s="13"/>
      <c r="C41"/>
      <c r="D41"/>
      <c r="E41"/>
      <c r="F41"/>
      <c r="G41"/>
      <c r="H41"/>
      <c r="I41"/>
      <c r="J41"/>
      <c r="K41"/>
      <c r="L41"/>
      <c r="M41"/>
      <c r="N41"/>
      <c r="O41"/>
      <c r="P41"/>
    </row>
    <row r="42" spans="2:22" ht="16.5" hidden="1" customHeight="1" x14ac:dyDescent="0.35">
      <c r="B42"/>
      <c r="C42"/>
      <c r="D42"/>
      <c r="E42" s="131"/>
      <c r="F42" s="131"/>
      <c r="G42"/>
      <c r="H42"/>
      <c r="I42"/>
      <c r="J42"/>
      <c r="K42"/>
      <c r="L42"/>
      <c r="M42"/>
      <c r="N42"/>
      <c r="O42"/>
      <c r="P42"/>
      <c r="Q42"/>
    </row>
    <row r="43" spans="2:22" ht="16.5" hidden="1" customHeight="1" x14ac:dyDescent="0.35">
      <c r="B43"/>
      <c r="C43"/>
      <c r="D43"/>
      <c r="E43" s="131"/>
      <c r="F43" s="131"/>
      <c r="G43"/>
      <c r="H43"/>
      <c r="I43" s="11"/>
      <c r="J43" s="10"/>
      <c r="K43" s="10"/>
      <c r="L43" s="10"/>
      <c r="M43" s="10"/>
      <c r="N43" s="10"/>
      <c r="O43"/>
      <c r="P43"/>
    </row>
    <row r="44" spans="2:22" ht="16.5" hidden="1" customHeight="1" x14ac:dyDescent="0.35">
      <c r="B44"/>
      <c r="C44"/>
      <c r="D44" s="131"/>
      <c r="E44" s="131"/>
      <c r="F44" s="131"/>
      <c r="G44"/>
      <c r="H44"/>
      <c r="I44" s="11"/>
      <c r="J44" s="10"/>
      <c r="K44" s="10"/>
      <c r="L44" s="10"/>
      <c r="M44" s="10"/>
      <c r="N44" s="10"/>
      <c r="O44"/>
      <c r="P44"/>
    </row>
    <row r="45" spans="2:22" ht="16.5" hidden="1" customHeight="1" x14ac:dyDescent="0.35">
      <c r="B45"/>
      <c r="D45" s="12"/>
      <c r="E45" s="12"/>
      <c r="F45" s="12"/>
      <c r="G45"/>
      <c r="H45"/>
      <c r="I45" s="11"/>
      <c r="J45" s="10"/>
      <c r="K45" s="10"/>
      <c r="L45" s="10"/>
      <c r="M45" s="10"/>
      <c r="N45" s="10"/>
      <c r="O45"/>
      <c r="P45"/>
    </row>
    <row r="46" spans="2:22" ht="16.5" hidden="1" customHeight="1" x14ac:dyDescent="0.35">
      <c r="B46"/>
      <c r="C46" s="12"/>
      <c r="D46" s="12"/>
      <c r="E46" s="12"/>
      <c r="F46"/>
      <c r="G46"/>
      <c r="H46"/>
      <c r="I46" s="130"/>
      <c r="J46" s="130"/>
      <c r="K46" s="130"/>
      <c r="L46" s="130"/>
      <c r="M46" s="130"/>
      <c r="N46" s="130"/>
      <c r="O46"/>
      <c r="P46"/>
    </row>
    <row r="47" spans="2:22" ht="16.5" hidden="1" customHeight="1" x14ac:dyDescent="0.35">
      <c r="B47" s="13"/>
      <c r="C47" s="12"/>
      <c r="D47" s="12"/>
      <c r="E47" s="12"/>
      <c r="F47" s="14"/>
      <c r="G47"/>
      <c r="H47"/>
      <c r="I47" s="130"/>
      <c r="J47" s="130"/>
      <c r="K47" s="130"/>
      <c r="L47" s="130"/>
      <c r="M47" s="130"/>
      <c r="N47" s="130"/>
      <c r="O47"/>
      <c r="P47"/>
    </row>
    <row r="48" spans="2:22" ht="16.5" hidden="1" customHeight="1" x14ac:dyDescent="0.35">
      <c r="B48"/>
      <c r="C48" s="12"/>
      <c r="D48" s="12"/>
      <c r="E48" s="12"/>
      <c r="F48" s="15"/>
      <c r="G48"/>
      <c r="H48"/>
      <c r="J48"/>
      <c r="K48"/>
      <c r="L48"/>
      <c r="M48"/>
      <c r="N48"/>
      <c r="O48"/>
      <c r="P48"/>
    </row>
    <row r="49" spans="2:16" ht="16.5" hidden="1" customHeight="1" x14ac:dyDescent="0.35">
      <c r="B49"/>
      <c r="C49"/>
      <c r="D49"/>
      <c r="E49"/>
      <c r="F49" s="15"/>
      <c r="G49"/>
      <c r="H49"/>
      <c r="I49"/>
      <c r="J49"/>
      <c r="K49"/>
      <c r="L49"/>
      <c r="M49"/>
      <c r="N49"/>
      <c r="O49"/>
      <c r="P49"/>
    </row>
    <row r="50" spans="2:16" ht="16.5" hidden="1" customHeight="1" x14ac:dyDescent="0.35">
      <c r="B50"/>
      <c r="C50"/>
      <c r="D50"/>
      <c r="E50"/>
      <c r="F50" s="15"/>
      <c r="G50"/>
      <c r="H50"/>
      <c r="I50"/>
      <c r="J50"/>
      <c r="K50"/>
      <c r="L50"/>
      <c r="M50"/>
      <c r="N50"/>
      <c r="O50"/>
      <c r="P50"/>
    </row>
  </sheetData>
  <sheetProtection sheet="1" objects="1" scenarios="1"/>
  <mergeCells count="13">
    <mergeCell ref="O3:P3"/>
    <mergeCell ref="B37:C37"/>
    <mergeCell ref="B38:C38"/>
    <mergeCell ref="B2:V2"/>
    <mergeCell ref="R3:S3"/>
    <mergeCell ref="U3:V3"/>
    <mergeCell ref="I46:N47"/>
    <mergeCell ref="E42:F42"/>
    <mergeCell ref="E43:F43"/>
    <mergeCell ref="D44:F44"/>
    <mergeCell ref="F3:G3"/>
    <mergeCell ref="I3:J3"/>
    <mergeCell ref="L3:M3"/>
  </mergeCells>
  <pageMargins left="0.7" right="0.7" top="0.75" bottom="0.75" header="0.3" footer="0.3"/>
  <pageSetup scale="68" fitToHeight="0" orientation="landscape" r:id="rId1"/>
  <ignoredErrors>
    <ignoredError sqref="F2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codeName="Sheet3">
    <pageSetUpPr fitToPage="1"/>
  </sheetPr>
  <dimension ref="A1:L49"/>
  <sheetViews>
    <sheetView workbookViewId="0"/>
  </sheetViews>
  <sheetFormatPr defaultColWidth="0" defaultRowHeight="14.4" zeroHeight="1" x14ac:dyDescent="0.3"/>
  <cols>
    <col min="1" max="1" width="3.09765625" customWidth="1"/>
    <col min="2" max="2" width="8.59765625" customWidth="1"/>
    <col min="3" max="3" width="10.09765625" customWidth="1"/>
    <col min="4" max="4" width="9.296875" customWidth="1"/>
    <col min="5" max="5" width="11.796875" customWidth="1"/>
    <col min="6" max="6" width="9.59765625" bestFit="1" customWidth="1"/>
    <col min="7" max="7" width="8.796875" bestFit="1" customWidth="1"/>
    <col min="8" max="8" width="9.796875" customWidth="1"/>
    <col min="9" max="9" width="11" customWidth="1"/>
    <col min="10" max="10" width="9.796875" bestFit="1" customWidth="1"/>
    <col min="11" max="11" width="10.09765625" customWidth="1"/>
    <col min="12" max="12" width="3.09765625" style="5" customWidth="1"/>
    <col min="13" max="16384" width="8.59765625" hidden="1"/>
  </cols>
  <sheetData>
    <row r="1" spans="1:12" ht="15.6" x14ac:dyDescent="0.3">
      <c r="A1" s="5"/>
      <c r="B1" s="138" t="s">
        <v>95</v>
      </c>
      <c r="C1" s="138"/>
      <c r="D1" s="138"/>
      <c r="E1" s="138"/>
      <c r="F1" s="138"/>
      <c r="G1" s="138"/>
      <c r="H1" s="138"/>
      <c r="I1" s="138"/>
      <c r="J1" s="138"/>
      <c r="K1" s="138"/>
    </row>
    <row r="2" spans="1:12" ht="34.049999999999997" customHeight="1" x14ac:dyDescent="0.3">
      <c r="A2" s="5"/>
      <c r="B2" s="140" t="s">
        <v>88</v>
      </c>
      <c r="C2" s="140"/>
      <c r="D2" s="140"/>
      <c r="E2" s="140"/>
      <c r="F2" s="140"/>
      <c r="G2" s="140"/>
      <c r="H2" s="140"/>
      <c r="I2" s="140"/>
      <c r="J2" s="140"/>
      <c r="K2" s="140"/>
    </row>
    <row r="3" spans="1:12" s="28" customFormat="1" ht="16.5" customHeight="1" x14ac:dyDescent="0.3">
      <c r="A3" s="5"/>
      <c r="B3" s="30"/>
      <c r="C3" s="31"/>
      <c r="D3" s="112"/>
      <c r="E3" s="144" t="s">
        <v>77</v>
      </c>
      <c r="F3" s="144"/>
      <c r="G3" s="144"/>
      <c r="H3" s="144"/>
      <c r="I3" s="144"/>
      <c r="J3" s="144"/>
      <c r="K3" s="145"/>
      <c r="L3" s="5"/>
    </row>
    <row r="4" spans="1:12" ht="16.5" customHeight="1" x14ac:dyDescent="0.3">
      <c r="A4" s="5"/>
      <c r="B4" s="108"/>
      <c r="C4" s="109"/>
      <c r="D4" s="113"/>
      <c r="E4" s="110" t="s">
        <v>41</v>
      </c>
      <c r="F4" s="110" t="s">
        <v>40</v>
      </c>
      <c r="G4" s="110" t="s">
        <v>36</v>
      </c>
      <c r="H4" s="110" t="s">
        <v>34</v>
      </c>
      <c r="I4" s="110" t="s">
        <v>32</v>
      </c>
      <c r="J4" s="110" t="s">
        <v>38</v>
      </c>
      <c r="K4" s="111" t="s">
        <v>39</v>
      </c>
    </row>
    <row r="5" spans="1:12" ht="16.5" customHeight="1" x14ac:dyDescent="0.3">
      <c r="A5" s="5"/>
      <c r="B5" s="114"/>
      <c r="C5" s="115"/>
      <c r="D5" s="116"/>
      <c r="E5" s="105">
        <f>H5*70%</f>
        <v>210</v>
      </c>
      <c r="F5" s="105">
        <f>H5*80%</f>
        <v>240</v>
      </c>
      <c r="G5" s="105">
        <f>H5*90%</f>
        <v>270</v>
      </c>
      <c r="H5" s="106">
        <f>Budget!U5</f>
        <v>300</v>
      </c>
      <c r="I5" s="105">
        <f>H5*110%</f>
        <v>330</v>
      </c>
      <c r="J5" s="105">
        <f>H5*120%</f>
        <v>360</v>
      </c>
      <c r="K5" s="107">
        <f>H5*130%</f>
        <v>390</v>
      </c>
    </row>
    <row r="6" spans="1:12" ht="16.5" customHeight="1" x14ac:dyDescent="0.3">
      <c r="A6" s="5"/>
      <c r="B6" s="141" t="s">
        <v>70</v>
      </c>
      <c r="C6" s="37" t="s">
        <v>37</v>
      </c>
      <c r="D6" s="38">
        <f>D9*85%</f>
        <v>27.863</v>
      </c>
      <c r="E6" s="33">
        <f>(D6*$E$5)-Budget!$V$36</f>
        <v>-410.81436250000024</v>
      </c>
      <c r="F6" s="34">
        <f>(D6*$F$5)-Budget!$V$36</f>
        <v>425.07563750000008</v>
      </c>
      <c r="G6" s="35">
        <f>(D6*$G$5)-Budget!$V$36</f>
        <v>1260.9656375000004</v>
      </c>
      <c r="H6" s="35">
        <f>(D6*$H$5)-Budget!$V$36</f>
        <v>2096.8556374999998</v>
      </c>
      <c r="I6" s="35">
        <f>(D6*$I$5)-Budget!$V$36</f>
        <v>2932.7456374999992</v>
      </c>
      <c r="J6" s="35">
        <f>(D6*$J$5)-Budget!$V$36</f>
        <v>3768.6356375000005</v>
      </c>
      <c r="K6" s="36">
        <f>(D6*$K$5)-Budget!$V$36</f>
        <v>4604.5256374999999</v>
      </c>
    </row>
    <row r="7" spans="1:12" ht="16.5" customHeight="1" x14ac:dyDescent="0.3">
      <c r="A7" s="5"/>
      <c r="B7" s="141"/>
      <c r="C7" s="37" t="s">
        <v>36</v>
      </c>
      <c r="D7" s="38">
        <f>D9*90%</f>
        <v>29.502000000000002</v>
      </c>
      <c r="E7" s="39">
        <f>(D7*$E$5)-Budget!$V$36</f>
        <v>-66.624362499999734</v>
      </c>
      <c r="F7" s="40">
        <f>(D7*$F$5)-Budget!$V$36</f>
        <v>818.43563750000067</v>
      </c>
      <c r="G7" s="41">
        <f>(D7*$G$5)-Budget!$V$36</f>
        <v>1703.4956375000011</v>
      </c>
      <c r="H7" s="41">
        <f>(D7*$H$5)-Budget!$V$36</f>
        <v>2588.5556375000006</v>
      </c>
      <c r="I7" s="41">
        <f>(D7*$I$5)-Budget!$V$36</f>
        <v>3473.6156375000019</v>
      </c>
      <c r="J7" s="41">
        <f>(D7*$J$5)-Budget!$V$36</f>
        <v>4358.6756375000014</v>
      </c>
      <c r="K7" s="42">
        <f>(D7*$K$5)-Budget!$V$36</f>
        <v>5243.7356375000008</v>
      </c>
    </row>
    <row r="8" spans="1:12" ht="16.5" customHeight="1" thickBot="1" x14ac:dyDescent="0.35">
      <c r="A8" s="5"/>
      <c r="B8" s="141"/>
      <c r="C8" s="43" t="s">
        <v>35</v>
      </c>
      <c r="D8" s="38">
        <f>D9*0.95</f>
        <v>31.140999999999998</v>
      </c>
      <c r="E8" s="39">
        <f>(D8*$E$5)-Budget!$V$36</f>
        <v>277.56563749999987</v>
      </c>
      <c r="F8" s="40">
        <f>(D8*$F$5)-Budget!$V$36</f>
        <v>1211.7956374999994</v>
      </c>
      <c r="G8" s="41">
        <f>(D8*$G$5)-Budget!$V$36</f>
        <v>2146.0256374999999</v>
      </c>
      <c r="H8" s="41">
        <f>(D8*$H$5)-Budget!$V$36</f>
        <v>3080.2556374999995</v>
      </c>
      <c r="I8" s="41">
        <f>(D8*$I$5)-Budget!$V$36</f>
        <v>4014.485637499999</v>
      </c>
      <c r="J8" s="41">
        <f>(D8*$J$5)-Budget!$V$36</f>
        <v>4948.7156375000004</v>
      </c>
      <c r="K8" s="42">
        <f>(D8*$K$5)-Budget!$V$36</f>
        <v>5882.9456375</v>
      </c>
    </row>
    <row r="9" spans="1:12" ht="16.5" customHeight="1" thickBot="1" x14ac:dyDescent="0.35">
      <c r="A9" s="5"/>
      <c r="B9" s="141"/>
      <c r="C9" s="37" t="s">
        <v>34</v>
      </c>
      <c r="D9" s="29">
        <f>Budget!D5</f>
        <v>32.78</v>
      </c>
      <c r="E9" s="39">
        <f>(D9*$E$5)-Budget!$V$36</f>
        <v>621.75563750000038</v>
      </c>
      <c r="F9" s="40">
        <f>(D9*$F$5)-Budget!$V$36</f>
        <v>1605.1556375000009</v>
      </c>
      <c r="G9" s="41">
        <f>(D9*$G$5)-Budget!$V$36</f>
        <v>2588.5556375000006</v>
      </c>
      <c r="H9" s="44">
        <f>(D9*$H$5)-Budget!$V$36</f>
        <v>3571.9556375000002</v>
      </c>
      <c r="I9" s="41">
        <f>(D9*$I$5)-Budget!$V$36</f>
        <v>4555.3556374999998</v>
      </c>
      <c r="J9" s="41">
        <f>(D9*$J$5)-Budget!$V$36</f>
        <v>5538.7556375000013</v>
      </c>
      <c r="K9" s="42">
        <f>(D9*$K$5)-Budget!$V$36</f>
        <v>6522.1556375000009</v>
      </c>
    </row>
    <row r="10" spans="1:12" ht="16.5" customHeight="1" x14ac:dyDescent="0.3">
      <c r="A10" s="5"/>
      <c r="B10" s="141"/>
      <c r="C10" s="37" t="s">
        <v>33</v>
      </c>
      <c r="D10" s="38">
        <f>D9*105%</f>
        <v>34.419000000000004</v>
      </c>
      <c r="E10" s="39">
        <f>(D10*$E$5)-Budget!$V$36</f>
        <v>965.94563750000088</v>
      </c>
      <c r="F10" s="40">
        <f>(D10*$F$5)-Budget!$V$36</f>
        <v>1998.5156375000015</v>
      </c>
      <c r="G10" s="41">
        <f>(D10*$G$5)-Budget!$V$36</f>
        <v>3031.0856375000012</v>
      </c>
      <c r="H10" s="41">
        <f>(D10*$H$5)-Budget!$V$36</f>
        <v>4063.6556375000009</v>
      </c>
      <c r="I10" s="41">
        <f>(D10*$I$5)-Budget!$V$36</f>
        <v>5096.2256375000006</v>
      </c>
      <c r="J10" s="41">
        <f>(D10*$J$5)-Budget!$V$36</f>
        <v>6128.7956375000022</v>
      </c>
      <c r="K10" s="42">
        <f>(D10*$K$5)-Budget!$V$36</f>
        <v>7161.3656375000019</v>
      </c>
    </row>
    <row r="11" spans="1:12" ht="16.5" customHeight="1" x14ac:dyDescent="0.3">
      <c r="A11" s="5"/>
      <c r="B11" s="141"/>
      <c r="C11" s="37" t="s">
        <v>32</v>
      </c>
      <c r="D11" s="38">
        <f>D9*110%</f>
        <v>36.058000000000007</v>
      </c>
      <c r="E11" s="39">
        <f>(D11*$E$5)-Budget!$V$36</f>
        <v>1310.1356375000014</v>
      </c>
      <c r="F11" s="40">
        <f>(D11*$F$5)-Budget!$V$36</f>
        <v>2391.8756375000021</v>
      </c>
      <c r="G11" s="41">
        <f>(D11*$G$5)-Budget!$V$36</f>
        <v>3473.6156375000019</v>
      </c>
      <c r="H11" s="41">
        <f>(D11*$H$5)-Budget!$V$36</f>
        <v>4555.3556375000016</v>
      </c>
      <c r="I11" s="41">
        <f>(D11*$I$5)-Budget!$V$36</f>
        <v>5637.0956375000032</v>
      </c>
      <c r="J11" s="41">
        <f>(D11*$J$5)-Budget!$V$36</f>
        <v>6718.835637500003</v>
      </c>
      <c r="K11" s="42">
        <f>(D11*$K$5)-Budget!$V$36</f>
        <v>7800.5756375000028</v>
      </c>
    </row>
    <row r="12" spans="1:12" s="27" customFormat="1" ht="16.5" customHeight="1" x14ac:dyDescent="0.3">
      <c r="A12" s="5"/>
      <c r="B12" s="142"/>
      <c r="C12" s="45" t="s">
        <v>31</v>
      </c>
      <c r="D12" s="46">
        <f>D9*115%</f>
        <v>37.696999999999996</v>
      </c>
      <c r="E12" s="47">
        <f>(D12*$E$5)-Budget!$V$36</f>
        <v>1654.3256374999992</v>
      </c>
      <c r="F12" s="48">
        <f>(D12*$F$5)-Budget!$V$36</f>
        <v>2785.235637499999</v>
      </c>
      <c r="G12" s="49">
        <f>(D12*$G$5)-Budget!$V$36</f>
        <v>3916.1456374999989</v>
      </c>
      <c r="H12" s="49">
        <f>(D12*$H$5)-Budget!$V$36</f>
        <v>5047.0556374999987</v>
      </c>
      <c r="I12" s="49">
        <f>(D12*$I$5)-Budget!$V$36</f>
        <v>6177.9656374999986</v>
      </c>
      <c r="J12" s="49">
        <f>(D12*$J$5)-Budget!$V$36</f>
        <v>7308.8756374999984</v>
      </c>
      <c r="K12" s="50">
        <f>(D12*$K$5)-Budget!$V$36</f>
        <v>8439.7856374999974</v>
      </c>
      <c r="L12" s="5"/>
    </row>
    <row r="13" spans="1:12" s="5" customFormat="1" ht="8.1" customHeight="1" x14ac:dyDescent="0.3">
      <c r="B13" s="7"/>
      <c r="C13" s="7"/>
      <c r="D13" s="7"/>
      <c r="E13" s="7"/>
      <c r="F13" s="7"/>
      <c r="G13" s="7"/>
      <c r="H13" s="7"/>
      <c r="I13" s="7"/>
      <c r="J13" s="7"/>
      <c r="K13" s="7"/>
    </row>
    <row r="14" spans="1:12" s="5" customFormat="1" ht="15.6" x14ac:dyDescent="0.3">
      <c r="B14" s="138" t="s">
        <v>94</v>
      </c>
      <c r="C14" s="138"/>
      <c r="D14" s="138"/>
      <c r="E14" s="138"/>
      <c r="F14" s="138"/>
      <c r="G14" s="138"/>
      <c r="H14" s="138"/>
      <c r="I14" s="138"/>
      <c r="J14" s="138"/>
      <c r="K14" s="138"/>
    </row>
    <row r="15" spans="1:12" s="5" customFormat="1" ht="35.1" customHeight="1" x14ac:dyDescent="0.3">
      <c r="B15" s="140" t="s">
        <v>47</v>
      </c>
      <c r="C15" s="140"/>
      <c r="D15" s="140"/>
      <c r="E15" s="140"/>
      <c r="F15" s="140"/>
      <c r="G15" s="140"/>
      <c r="H15" s="140"/>
      <c r="I15" s="140"/>
      <c r="J15" s="140"/>
      <c r="K15" s="140"/>
    </row>
    <row r="16" spans="1:12" ht="16.5" customHeight="1" x14ac:dyDescent="0.3">
      <c r="A16" s="5"/>
      <c r="B16" s="30"/>
      <c r="C16" s="30"/>
      <c r="D16" s="51"/>
      <c r="E16" s="143" t="s">
        <v>2</v>
      </c>
      <c r="F16" s="144"/>
      <c r="G16" s="144"/>
      <c r="H16" s="144"/>
      <c r="I16" s="144"/>
      <c r="J16" s="144"/>
      <c r="K16" s="145"/>
    </row>
    <row r="17" spans="1:11" ht="16.5" customHeight="1" x14ac:dyDescent="0.3">
      <c r="A17" s="5"/>
      <c r="B17" s="32"/>
      <c r="C17" s="32"/>
      <c r="D17" s="52"/>
      <c r="E17" s="53" t="s">
        <v>37</v>
      </c>
      <c r="F17" s="53" t="s">
        <v>36</v>
      </c>
      <c r="G17" s="53" t="s">
        <v>35</v>
      </c>
      <c r="H17" s="53" t="s">
        <v>34</v>
      </c>
      <c r="I17" s="53" t="s">
        <v>33</v>
      </c>
      <c r="J17" s="53" t="s">
        <v>32</v>
      </c>
      <c r="K17" s="54" t="s">
        <v>31</v>
      </c>
    </row>
    <row r="18" spans="1:11" ht="16.5" customHeight="1" x14ac:dyDescent="0.3">
      <c r="A18" s="5"/>
      <c r="B18" s="146" t="s">
        <v>26</v>
      </c>
      <c r="C18" s="55"/>
      <c r="D18" s="56" t="s">
        <v>37</v>
      </c>
      <c r="E18" s="57">
        <f>(Budget!$V$6*0.85)-(Budget!$V$29*0.85)-Budget!$V$35</f>
        <v>2855.8712918749998</v>
      </c>
      <c r="F18" s="35">
        <f>(Budget!$V$6*0.9)-(Budget!$V$29*0.85)-Budget!$V$35</f>
        <v>3347.5712918750005</v>
      </c>
      <c r="G18" s="35">
        <f>(Budget!$V$6*0.95)-(Budget!$V$29*0.85)-Budget!$V$35</f>
        <v>3839.2712918749994</v>
      </c>
      <c r="H18" s="58">
        <f>Budget!$V$6-(Budget!$V$29*0.85)-Budget!$V$35</f>
        <v>4330.9712918750001</v>
      </c>
      <c r="I18" s="58">
        <f>(Budget!$V$6*1.05)-(Budget!$V$29*0.85)-Budget!$V$35</f>
        <v>4822.6712918750009</v>
      </c>
      <c r="J18" s="58">
        <f>(Budget!$V$6*1.1)-(Budget!$V$29*0.85)-Budget!$V$35</f>
        <v>5314.3712918750016</v>
      </c>
      <c r="K18" s="59">
        <f>(Budget!$V$6*1.15)-(Budget!$V$29*0.85)-Budget!$V$35</f>
        <v>5806.0712918749987</v>
      </c>
    </row>
    <row r="19" spans="1:11" ht="16.5" customHeight="1" x14ac:dyDescent="0.3">
      <c r="A19" s="5"/>
      <c r="B19" s="146"/>
      <c r="C19" s="55"/>
      <c r="D19" s="56" t="s">
        <v>36</v>
      </c>
      <c r="E19" s="60">
        <f>(Budget!$V$6*0.85)-(Budget!$V$29*0.9)-Budget!$V$35</f>
        <v>2602.8660737499995</v>
      </c>
      <c r="F19" s="41">
        <f>(Budget!$V$6*0.9)-(Budget!$V$29*0.9)-Budget!$V$35</f>
        <v>3094.5660737500002</v>
      </c>
      <c r="G19" s="41">
        <f>(Budget!$V$6*0.95)-(Budget!$V$29*0.9)-Budget!$V$35</f>
        <v>3586.2660737499991</v>
      </c>
      <c r="H19" s="61">
        <f>Budget!$V$6-(Budget!$V$29*0.9)-Budget!$V$35</f>
        <v>4077.9660737499999</v>
      </c>
      <c r="I19" s="61">
        <f>(Budget!$V$6*1.05)-(Budget!$V$29*0.9)-Budget!$V$35</f>
        <v>4569.6660737500006</v>
      </c>
      <c r="J19" s="61">
        <f>(Budget!$V$6*1.1)-(Budget!$V$29*0.9)-Budget!$V$35</f>
        <v>5061.3660737500013</v>
      </c>
      <c r="K19" s="62">
        <f>(Budget!$V$6*1.15)-(Budget!$V$29*0.9)-Budget!$V$35</f>
        <v>5553.0660737499984</v>
      </c>
    </row>
    <row r="20" spans="1:11" ht="16.5" customHeight="1" thickBot="1" x14ac:dyDescent="0.35">
      <c r="A20" s="5"/>
      <c r="B20" s="146"/>
      <c r="C20" s="55"/>
      <c r="D20" s="56" t="s">
        <v>35</v>
      </c>
      <c r="E20" s="60">
        <f>(Budget!$V$6*0.85)-(Budget!$V$29*0.95)-Budget!$V$35</f>
        <v>2349.8608556250001</v>
      </c>
      <c r="F20" s="41">
        <f>(Budget!$V$6*0.9)-(Budget!$V$29*0.95)-Budget!$V$35</f>
        <v>2841.5608556250008</v>
      </c>
      <c r="G20" s="41">
        <f>(Budget!$V$6*0.95)-(Budget!$V$29*0.95)-Budget!$V$35</f>
        <v>3333.2608556249997</v>
      </c>
      <c r="H20" s="61">
        <f>Budget!$V$6-(Budget!$V$29*0.95)-Budget!$V$35</f>
        <v>3824.9608556250005</v>
      </c>
      <c r="I20" s="61">
        <f>(Budget!$V$6*1.05)-(Budget!$V$29*0.95)-Budget!$V$35</f>
        <v>4316.6608556250012</v>
      </c>
      <c r="J20" s="61">
        <f>(Budget!$V$6*1.1)-(Budget!$V$29*0.95)-Budget!$V$35</f>
        <v>4808.3608556250019</v>
      </c>
      <c r="K20" s="62">
        <f>(Budget!$V$6*1.15)-(Budget!$V$29*0.95)-Budget!$V$35</f>
        <v>5300.060855624999</v>
      </c>
    </row>
    <row r="21" spans="1:11" ht="16.5" customHeight="1" thickBot="1" x14ac:dyDescent="0.35">
      <c r="A21" s="5"/>
      <c r="B21" s="146"/>
      <c r="C21" s="55"/>
      <c r="D21" s="56" t="s">
        <v>34</v>
      </c>
      <c r="E21" s="60">
        <f>(Budget!$V$6*0.85)-Budget!$V$29-Budget!$V$35</f>
        <v>2096.8556374999998</v>
      </c>
      <c r="F21" s="41">
        <f>(Budget!$V$6*0.9)-(Budget!$V$29)-Budget!$V$35</f>
        <v>2588.5556375000006</v>
      </c>
      <c r="G21" s="41">
        <f>(Budget!$V$6*0.95)-(Budget!$V$29)-Budget!$V$35</f>
        <v>3080.2556374999995</v>
      </c>
      <c r="H21" s="63">
        <f>Budget!$V$6-(Budget!$V$29)-Budget!$V$35</f>
        <v>3571.9556375000002</v>
      </c>
      <c r="I21" s="61">
        <f>(Budget!$V$6*1.05)-(Budget!$V$29)-Budget!$V$35</f>
        <v>4063.6556375000009</v>
      </c>
      <c r="J21" s="61">
        <f>(Budget!$V$6*1.1)-(Budget!$V$29)-Budget!$V$35</f>
        <v>4555.3556375000016</v>
      </c>
      <c r="K21" s="62">
        <f>(Budget!$V$6*1.15)-(Budget!$V$29)-Budget!$V$35</f>
        <v>5047.0556374999987</v>
      </c>
    </row>
    <row r="22" spans="1:11" ht="16.5" customHeight="1" x14ac:dyDescent="0.3">
      <c r="A22" s="5"/>
      <c r="B22" s="146"/>
      <c r="C22" s="55"/>
      <c r="D22" s="56" t="s">
        <v>33</v>
      </c>
      <c r="E22" s="60">
        <f>(Budget!$V$6*0.85)-(Budget!$V$29*1.05)-Budget!$V$35</f>
        <v>1843.8504193749993</v>
      </c>
      <c r="F22" s="41">
        <f>(Budget!$V$6*0.9)-(Budget!$V$29*1.05)-Budget!$V$35</f>
        <v>2335.5504193750003</v>
      </c>
      <c r="G22" s="41">
        <f>(Budget!$V$6*0.95)-(Budget!$V$29*1.05)-Budget!$V$35</f>
        <v>2827.2504193749992</v>
      </c>
      <c r="H22" s="61">
        <f>Budget!$V$6-(Budget!$V$29*1.05)-Budget!$V$35</f>
        <v>3318.9504193749999</v>
      </c>
      <c r="I22" s="61">
        <f>(Budget!$V$6*1.05)-(Budget!$V$29*1.05)-Budget!$V$35</f>
        <v>3810.6504193750006</v>
      </c>
      <c r="J22" s="61">
        <f>(Budget!$V$6*1.1)-(Budget!$V$29*1.05)-Budget!$V$35</f>
        <v>4302.3504193750014</v>
      </c>
      <c r="K22" s="62">
        <f>(Budget!$V$6*1.15)-(Budget!$V$29*1.05)-Budget!$V$35</f>
        <v>4794.0504193749985</v>
      </c>
    </row>
    <row r="23" spans="1:11" ht="16.5" customHeight="1" x14ac:dyDescent="0.3">
      <c r="A23" s="5"/>
      <c r="B23" s="146"/>
      <c r="C23" s="55"/>
      <c r="D23" s="56" t="s">
        <v>32</v>
      </c>
      <c r="E23" s="60">
        <f>(Budget!$V$6*0.85)-(Budget!$V$29*1.1)-Budget!$V$35</f>
        <v>1590.845201249999</v>
      </c>
      <c r="F23" s="41">
        <f>(Budget!$V$6*0.9)-(Budget!$V$29*1.1)-Budget!$V$35</f>
        <v>2082.54520125</v>
      </c>
      <c r="G23" s="41">
        <f>(Budget!$V$6*0.95)-(Budget!$V$29*1.1)-Budget!$V$35</f>
        <v>2574.2452012499989</v>
      </c>
      <c r="H23" s="61">
        <f>Budget!$V$6-(Budget!$V$29*1.1)-Budget!$V$35</f>
        <v>3065.9452012499996</v>
      </c>
      <c r="I23" s="61">
        <f>(Budget!$V$6*1.05)-(Budget!$V$29*1.1)-Budget!$V$35</f>
        <v>3557.6452012500004</v>
      </c>
      <c r="J23" s="61">
        <f>(Budget!$V$6*1.1)-(Budget!$V$29*1.1)-Budget!$V$35</f>
        <v>4049.3452012500011</v>
      </c>
      <c r="K23" s="62">
        <f>(Budget!$V$6*1.15)-(Budget!$V$29*1.1)-Budget!$V$35</f>
        <v>4541.0452012499982</v>
      </c>
    </row>
    <row r="24" spans="1:11" ht="16.5" customHeight="1" x14ac:dyDescent="0.3">
      <c r="A24" s="5"/>
      <c r="B24" s="147"/>
      <c r="C24" s="64"/>
      <c r="D24" s="65" t="s">
        <v>31</v>
      </c>
      <c r="E24" s="66">
        <f>(Budget!$V$6*0.85)-(Budget!$V$29*1.15)-Budget!$V$35</f>
        <v>1337.8399831249997</v>
      </c>
      <c r="F24" s="49">
        <f>(Budget!$V$6*0.9)-(Budget!$V$29*1.15)-Budget!$V$35</f>
        <v>1829.5399831250004</v>
      </c>
      <c r="G24" s="49">
        <f>(Budget!$V$6*0.95)-(Budget!$V$29*1.15)-Budget!$V$35</f>
        <v>2321.2399831249995</v>
      </c>
      <c r="H24" s="67">
        <f>Budget!$V$6-(Budget!$V$29*1.15)-Budget!$V$35</f>
        <v>2812.9399831250003</v>
      </c>
      <c r="I24" s="67">
        <f>(Budget!$V$6*1.05)-(Budget!$V$29*1.15)-Budget!$V$35</f>
        <v>3304.639983125001</v>
      </c>
      <c r="J24" s="67">
        <f>(Budget!$V$6*1.1)-(Budget!$V$29*1.15)-Budget!$V$35</f>
        <v>3796.3399831250017</v>
      </c>
      <c r="K24" s="68">
        <f>(Budget!$V$6*1.15)-(Budget!$V$29*1.15)-Budget!$V$35</f>
        <v>4288.0399831249988</v>
      </c>
    </row>
    <row r="25" spans="1:11" ht="8.1" customHeight="1" x14ac:dyDescent="0.3">
      <c r="A25" s="5"/>
      <c r="B25" s="7"/>
      <c r="C25" s="7"/>
      <c r="D25" s="7"/>
      <c r="E25" s="7"/>
      <c r="F25" s="7"/>
      <c r="G25" s="7"/>
      <c r="H25" s="7"/>
      <c r="I25" s="7"/>
      <c r="J25" s="7"/>
      <c r="K25" s="7"/>
    </row>
    <row r="26" spans="1:11" ht="15.6" x14ac:dyDescent="0.3">
      <c r="A26" s="5"/>
      <c r="B26" s="138" t="s">
        <v>79</v>
      </c>
      <c r="C26" s="138"/>
      <c r="D26" s="138"/>
      <c r="E26" s="138"/>
      <c r="F26" s="138"/>
      <c r="G26" s="138"/>
      <c r="H26" s="138"/>
      <c r="I26" s="138"/>
      <c r="J26" s="138"/>
      <c r="K26" s="138"/>
    </row>
    <row r="27" spans="1:11" ht="15.6" x14ac:dyDescent="0.3">
      <c r="A27" s="5"/>
      <c r="B27" s="140" t="s">
        <v>45</v>
      </c>
      <c r="C27" s="140"/>
      <c r="D27" s="140"/>
      <c r="E27" s="140"/>
      <c r="F27" s="140"/>
      <c r="G27" s="140"/>
      <c r="H27" s="140"/>
      <c r="I27" s="140"/>
      <c r="J27" s="140"/>
      <c r="K27" s="140"/>
    </row>
    <row r="28" spans="1:11" ht="65.55" customHeight="1" x14ac:dyDescent="0.3">
      <c r="A28" s="5"/>
      <c r="B28" s="140" t="s">
        <v>80</v>
      </c>
      <c r="C28" s="140"/>
      <c r="D28" s="140"/>
      <c r="E28" s="140"/>
      <c r="F28" s="140"/>
      <c r="G28" s="140"/>
      <c r="H28" s="140"/>
      <c r="I28" s="140"/>
      <c r="J28" s="140"/>
      <c r="K28" s="140"/>
    </row>
    <row r="29" spans="1:11" ht="33.6" customHeight="1" x14ac:dyDescent="0.3">
      <c r="A29" s="5"/>
      <c r="B29" s="140" t="s">
        <v>71</v>
      </c>
      <c r="C29" s="140"/>
      <c r="D29" s="140"/>
      <c r="E29" s="140"/>
      <c r="F29" s="140"/>
      <c r="G29" s="140"/>
      <c r="H29" s="140"/>
      <c r="I29" s="140"/>
      <c r="J29" s="140"/>
      <c r="K29" s="140"/>
    </row>
    <row r="30" spans="1:11" x14ac:dyDescent="0.3">
      <c r="A30" s="5"/>
      <c r="B30" s="140"/>
      <c r="C30" s="140"/>
      <c r="D30" s="140"/>
      <c r="E30" s="140"/>
      <c r="F30" s="140"/>
      <c r="G30" s="140"/>
      <c r="H30" s="140"/>
      <c r="I30" s="140"/>
      <c r="J30" s="140"/>
      <c r="K30" s="140"/>
    </row>
    <row r="31" spans="1:11" x14ac:dyDescent="0.3">
      <c r="A31" s="5"/>
      <c r="B31" s="140"/>
      <c r="C31" s="140"/>
      <c r="D31" s="140"/>
      <c r="E31" s="140"/>
      <c r="F31" s="140"/>
      <c r="G31" s="140"/>
      <c r="H31" s="140"/>
      <c r="I31" s="140"/>
      <c r="J31" s="140"/>
      <c r="K31" s="140"/>
    </row>
    <row r="32" spans="1:11" ht="32.549999999999997" customHeight="1" x14ac:dyDescent="0.3">
      <c r="A32" s="5"/>
      <c r="B32" s="140" t="s">
        <v>81</v>
      </c>
      <c r="C32" s="140"/>
      <c r="D32" s="140"/>
      <c r="E32" s="140"/>
      <c r="F32" s="140"/>
      <c r="G32" s="140"/>
      <c r="H32" s="140"/>
      <c r="I32" s="140"/>
      <c r="J32" s="140"/>
      <c r="K32" s="140"/>
    </row>
    <row r="33" spans="1:11" ht="10.050000000000001" customHeight="1" x14ac:dyDescent="0.3">
      <c r="A33" s="5"/>
      <c r="B33" s="69"/>
      <c r="C33" s="69"/>
      <c r="D33" s="69"/>
      <c r="E33" s="69"/>
      <c r="F33" s="69"/>
      <c r="G33" s="69"/>
      <c r="H33" s="69"/>
      <c r="I33" s="69"/>
      <c r="J33" s="69"/>
      <c r="K33" s="69"/>
    </row>
    <row r="34" spans="1:11" ht="15.6" x14ac:dyDescent="0.3">
      <c r="A34" s="5"/>
      <c r="B34" s="70" t="s">
        <v>23</v>
      </c>
      <c r="C34" s="7"/>
      <c r="D34" s="7"/>
      <c r="E34" s="7"/>
      <c r="F34" s="5"/>
      <c r="G34" s="5"/>
      <c r="H34" s="5"/>
      <c r="I34" s="5"/>
      <c r="J34" s="5"/>
      <c r="K34" s="5"/>
    </row>
    <row r="35" spans="1:11" ht="15.6" x14ac:dyDescent="0.3">
      <c r="A35" s="5"/>
      <c r="B35" s="7" t="s">
        <v>42</v>
      </c>
      <c r="C35" s="71"/>
      <c r="D35" s="71"/>
      <c r="E35" s="20">
        <v>0.06</v>
      </c>
      <c r="F35" s="7"/>
      <c r="G35" s="70"/>
      <c r="H35" s="72"/>
      <c r="I35" s="72"/>
      <c r="J35" s="72"/>
      <c r="K35" s="26"/>
    </row>
    <row r="36" spans="1:11" ht="15.6" x14ac:dyDescent="0.3">
      <c r="A36" s="5"/>
      <c r="B36" s="7" t="s">
        <v>78</v>
      </c>
      <c r="C36" s="7"/>
      <c r="D36" s="7"/>
      <c r="E36" s="73">
        <f>(Budget!G38+Budget!J38/(1+E35)+Budget!M38/((1+E35)^2)+Budget!M38/((1+E35)^3)+Budget!P38/(1+E35)^4+Budget!S38/(1+E35)^5+Budget!V38/(1+E35)^6+Budget!V38/(1+E35)^7+Budget!V38/(1+E35)^8)</f>
        <v>1313.108386688667</v>
      </c>
      <c r="F36" s="7"/>
      <c r="G36" s="69"/>
      <c r="H36" s="72"/>
      <c r="I36" s="72"/>
      <c r="J36" s="72"/>
      <c r="K36" s="73"/>
    </row>
    <row r="37" spans="1:11" ht="15.6" x14ac:dyDescent="0.3">
      <c r="A37" s="5"/>
      <c r="B37" s="7" t="s">
        <v>43</v>
      </c>
      <c r="C37" s="7"/>
      <c r="D37" s="7"/>
      <c r="E37" s="73">
        <f>(Budget!G38+Budget!J38/(1+E35)+Budget!M38/((1+E35)^2)+Budget!M38/((1+E35)^3)+Budget!P38/(1+E35)^4+Budget!S38/(1+E35)^5+Budget!V38/(1+E35)^6+Budget!V38/(1+E35)^7+Budget!V38/(1+E35)^8+Budget!V38/(1+E35)^9)</f>
        <v>3427.3434403223282</v>
      </c>
      <c r="F37" s="5"/>
      <c r="G37" s="7"/>
      <c r="H37" s="7"/>
      <c r="I37" s="7"/>
      <c r="J37" s="7"/>
      <c r="K37" s="73"/>
    </row>
    <row r="38" spans="1:11" ht="15.6" x14ac:dyDescent="0.3">
      <c r="A38" s="5"/>
      <c r="B38" s="69" t="s">
        <v>44</v>
      </c>
      <c r="C38" s="69"/>
      <c r="D38" s="73"/>
      <c r="E38" s="73">
        <f>(Budget!G38+Budget!J38/(1+E35)+Budget!M38/((1+E35)^2)+Budget!M38/((1+E35)^3)+Budget!P38/(1+E35)^4+Budget!S38/(1+E35)^5+Budget!V38/(1+E35)^6+Budget!V38/(1+E35)^7+Budget!V38/(1+E35)^8+Budget!V38/(1+E35)^9+Budget!V38/(1+E35)^10+Budget!V38/(1+E35)^11+Budget!V38/(1+E35)^12+Budget!V38/(1+E35)^13+Budget!V38/(1+E35)^14)</f>
        <v>12333.270614422345</v>
      </c>
      <c r="F38" s="5"/>
      <c r="G38" s="7"/>
      <c r="H38" s="7"/>
      <c r="I38" s="7"/>
      <c r="J38" s="7"/>
      <c r="K38" s="73"/>
    </row>
    <row r="39" spans="1:11" ht="14.55" hidden="1" customHeight="1" x14ac:dyDescent="0.3">
      <c r="B39" s="5"/>
      <c r="C39" s="5"/>
      <c r="D39" s="5"/>
      <c r="E39" s="5"/>
      <c r="F39" s="5"/>
      <c r="G39" s="5"/>
      <c r="H39" s="5"/>
      <c r="I39" s="5"/>
      <c r="J39" s="5"/>
      <c r="K39" s="5"/>
    </row>
    <row r="41" spans="1:11" ht="32.1" hidden="1" customHeight="1" x14ac:dyDescent="0.3"/>
    <row r="42" spans="1:11" ht="15.6" hidden="1" x14ac:dyDescent="0.3">
      <c r="B42" s="139"/>
      <c r="C42" s="139"/>
      <c r="D42" s="139"/>
      <c r="E42" s="139"/>
      <c r="F42" s="139"/>
      <c r="G42" s="139"/>
      <c r="H42" s="139"/>
      <c r="I42" s="139"/>
      <c r="J42" s="139"/>
      <c r="K42" s="139"/>
    </row>
    <row r="43" spans="1:11" ht="15.6" hidden="1" x14ac:dyDescent="0.3">
      <c r="B43" s="139"/>
      <c r="C43" s="139"/>
      <c r="D43" s="139"/>
      <c r="E43" s="139"/>
      <c r="F43" s="139"/>
      <c r="G43" s="139"/>
      <c r="H43" s="139"/>
      <c r="I43" s="139"/>
      <c r="J43" s="139"/>
      <c r="K43" s="139"/>
    </row>
    <row r="44" spans="1:11" ht="15.6" hidden="1" x14ac:dyDescent="0.3">
      <c r="B44" s="9"/>
      <c r="C44" s="9"/>
      <c r="D44" s="9"/>
      <c r="E44" s="9"/>
      <c r="F44" s="9"/>
      <c r="G44" s="9"/>
      <c r="H44" s="9"/>
      <c r="I44" s="9"/>
      <c r="J44" s="9"/>
      <c r="K44" s="9"/>
    </row>
    <row r="45" spans="1:11" ht="15.6" hidden="1" x14ac:dyDescent="0.3">
      <c r="G45" s="8"/>
      <c r="H45" s="8"/>
      <c r="I45" s="8"/>
      <c r="J45" s="8"/>
      <c r="K45" s="8"/>
    </row>
    <row r="46" spans="1:11" ht="15.6" hidden="1" x14ac:dyDescent="0.3">
      <c r="G46" s="8"/>
      <c r="H46" s="8"/>
      <c r="I46" s="8"/>
      <c r="J46" s="8"/>
      <c r="K46" s="8"/>
    </row>
    <row r="47" spans="1:11" ht="15.6" hidden="1" x14ac:dyDescent="0.3">
      <c r="G47" s="8"/>
      <c r="H47" s="8"/>
      <c r="I47" s="8"/>
      <c r="J47" s="8"/>
      <c r="K47" s="8"/>
    </row>
    <row r="48" spans="1:11" ht="15.6" hidden="1" x14ac:dyDescent="0.3">
      <c r="G48" s="8"/>
      <c r="H48" s="8"/>
      <c r="I48" s="8"/>
      <c r="J48" s="8"/>
      <c r="K48" s="8"/>
    </row>
    <row r="49" spans="7:11" ht="15.6" hidden="1" x14ac:dyDescent="0.3">
      <c r="G49" s="8"/>
      <c r="H49" s="8"/>
      <c r="I49" s="8"/>
      <c r="J49" s="8"/>
      <c r="K49" s="8"/>
    </row>
  </sheetData>
  <sheetProtection sheet="1" objects="1" scenarios="1"/>
  <protectedRanges>
    <protectedRange sqref="E35" name="Net present value"/>
    <protectedRange sqref="H5" name="Bushels per acre"/>
    <protectedRange sqref="D9" name="Base price"/>
  </protectedRanges>
  <mergeCells count="15">
    <mergeCell ref="B1:K1"/>
    <mergeCell ref="B14:K14"/>
    <mergeCell ref="B42:K42"/>
    <mergeCell ref="B43:K43"/>
    <mergeCell ref="B29:K31"/>
    <mergeCell ref="B26:K26"/>
    <mergeCell ref="B6:B12"/>
    <mergeCell ref="E16:K16"/>
    <mergeCell ref="B18:B24"/>
    <mergeCell ref="B27:K27"/>
    <mergeCell ref="B2:K2"/>
    <mergeCell ref="B15:K15"/>
    <mergeCell ref="B28:K28"/>
    <mergeCell ref="B32:K32"/>
    <mergeCell ref="E3:K3"/>
  </mergeCells>
  <conditionalFormatting sqref="E6:K12">
    <cfRule type="cellIs" dxfId="1" priority="2" operator="lessThan">
      <formula>0</formula>
    </cfRule>
  </conditionalFormatting>
  <conditionalFormatting sqref="E18:K24">
    <cfRule type="cellIs" dxfId="0" priority="1" operator="lessThan">
      <formula>0</formula>
    </cfRule>
  </conditionalFormatting>
  <pageMargins left="0.7" right="0.7" top="0.75" bottom="0.75" header="0.3" footer="0.3"/>
  <pageSetup scale="8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272BA2EC307A4F840456AFB3F4BF30" ma:contentTypeVersion="15" ma:contentTypeDescription="Create a new document." ma:contentTypeScope="" ma:versionID="e7135de11d12d073d7a6ede4b04666d3">
  <xsd:schema xmlns:xsd="http://www.w3.org/2001/XMLSchema" xmlns:xs="http://www.w3.org/2001/XMLSchema" xmlns:p="http://schemas.microsoft.com/office/2006/metadata/properties" xmlns:ns2="afeaba0f-363c-487a-9eab-504fb0ae0068" xmlns:ns3="3cf54786-5cbe-4eed-9d82-be7bae57988e" targetNamespace="http://schemas.microsoft.com/office/2006/metadata/properties" ma:root="true" ma:fieldsID="153500833204045ca796943900e2c449" ns2:_="" ns3:_="">
    <xsd:import namespace="afeaba0f-363c-487a-9eab-504fb0ae0068"/>
    <xsd:import namespace="3cf54786-5cbe-4eed-9d82-be7bae5798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eaba0f-363c-487a-9eab-504fb0ae00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f54786-5cbe-4eed-9d82-be7bae5798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2560828-92f4-433d-b2dd-f0bd0e5db71c}" ma:internalName="TaxCatchAll" ma:showField="CatchAllData" ma:web="3cf54786-5cbe-4eed-9d82-be7bae5798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eaba0f-363c-487a-9eab-504fb0ae0068">
      <Terms xmlns="http://schemas.microsoft.com/office/infopath/2007/PartnerControls"/>
    </lcf76f155ced4ddcb4097134ff3c332f>
    <TaxCatchAll xmlns="3cf54786-5cbe-4eed-9d82-be7bae57988e" xsi:nil="true"/>
  </documentManagement>
</p:properties>
</file>

<file path=customXml/itemProps1.xml><?xml version="1.0" encoding="utf-8"?>
<ds:datastoreItem xmlns:ds="http://schemas.openxmlformats.org/officeDocument/2006/customXml" ds:itemID="{803F0A06-9F9F-49EF-8C3D-05FBF50BAEB2}">
  <ds:schemaRefs>
    <ds:schemaRef ds:uri="http://schemas.microsoft.com/sharepoint/v3/contenttype/forms"/>
  </ds:schemaRefs>
</ds:datastoreItem>
</file>

<file path=customXml/itemProps2.xml><?xml version="1.0" encoding="utf-8"?>
<ds:datastoreItem xmlns:ds="http://schemas.openxmlformats.org/officeDocument/2006/customXml" ds:itemID="{40C5FB2E-A975-4361-AC71-F1F257ACC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eaba0f-363c-487a-9eab-504fb0ae0068"/>
    <ds:schemaRef ds:uri="3cf54786-5cbe-4eed-9d82-be7bae579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E28324-32A9-4154-8247-D3B1E0DB2445}">
  <ds:schemaRefs>
    <ds:schemaRef ds:uri="http://schemas.microsoft.com/office/2006/metadata/properties"/>
    <ds:schemaRef ds:uri="http://schemas.microsoft.com/office/infopath/2007/PartnerControls"/>
    <ds:schemaRef ds:uri="afeaba0f-363c-487a-9eab-504fb0ae0068"/>
    <ds:schemaRef ds:uri="3cf54786-5cbe-4eed-9d82-be7bae5798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Budget</vt:lpstr>
      <vt:lpstr>Financial Sensitivity</vt:lpstr>
      <vt:lpstr>Budget!Print_Area</vt:lpstr>
      <vt:lpstr>'Financial Sensitivity'!Print_Area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Jackson, Lauren</cp:lastModifiedBy>
  <cp:revision/>
  <cp:lastPrinted>2025-08-08T02:30:17Z</cp:lastPrinted>
  <dcterms:created xsi:type="dcterms:W3CDTF">2020-07-30T17:48:44Z</dcterms:created>
  <dcterms:modified xsi:type="dcterms:W3CDTF">2025-11-05T17:50:33Z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0x010100CE272BA2EC307A4F840456AFB3F4BF30</vt:lpwstr>
  </property>
  <property fmtid="{D5CDD505-2E9C-101B-9397-08002B2CF9AE}" pid="3" name="MediaServiceImageTags">
    <vt:lpwstr/>
  </property>
</Properties>
</file>