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-my.sharepoint.com/personal/jacksonla_umsystem_edu/Documents/Desktop/Desktop 3-28/Website/FruitsandVeggies Project/New spreadsheets Sept 2025/"/>
    </mc:Choice>
  </mc:AlternateContent>
  <xr:revisionPtr revIDLastSave="790" documentId="8_{167BCC06-40F6-4BDD-9967-199FE72D3A02}" xr6:coauthVersionLast="47" xr6:coauthVersionMax="47" xr10:uidLastSave="{CEFFCB29-5755-4B58-B079-8055BD11C903}"/>
  <workbookProtection lockStructure="1"/>
  <bookViews>
    <workbookView xWindow="5064" yWindow="840" windowWidth="17328" windowHeight="10296" xr2:uid="{50691399-9F51-4DAE-88E6-4D51F075FBD5}"/>
  </bookViews>
  <sheets>
    <sheet name="Introduction" sheetId="3" r:id="rId1"/>
    <sheet name="Budget" sheetId="1" r:id="rId2"/>
    <sheet name="Financial Sensitivity" sheetId="4" r:id="rId3"/>
  </sheets>
  <externalReferences>
    <externalReference r:id="rId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res">#REF!</definedName>
    <definedName name="Boom_Sprayer">#REF!</definedName>
    <definedName name="Boom_Sprayer_SP">#REF!</definedName>
    <definedName name="byyield">#REF!</definedName>
    <definedName name="Chisel_Plow">#REF!</definedName>
    <definedName name="Chisel_Plow_FD">#REF!</definedName>
    <definedName name="Comb_Disk_VRipper">#REF!</definedName>
    <definedName name="Comb_Fld_Cult_Incorp">#REF!</definedName>
    <definedName name="Combine_Size">#REF!</definedName>
    <definedName name="Cornhead_Size">#REF!</definedName>
    <definedName name="crop">#REF!</definedName>
    <definedName name="cropnum">#REF!</definedName>
    <definedName name="Crops">#REF!</definedName>
    <definedName name="Cultivator">#REF!</definedName>
    <definedName name="Cultivator_HR">#REF!</definedName>
    <definedName name="customhire2">#REF!,#REF!</definedName>
    <definedName name="CustomImps">[1]!Table4[Activity]</definedName>
    <definedName name="Disc_Mower">#REF!</definedName>
    <definedName name="Disk">#REF!</definedName>
    <definedName name="Disk_Mower">#REF!</definedName>
    <definedName name="drying">#REF!,#REF!</definedName>
    <definedName name="Field_Cultivator">#REF!</definedName>
    <definedName name="Grain_Auger">#REF!</definedName>
    <definedName name="Graincart">#REF!</definedName>
    <definedName name="Grainhead_Size">#REF!</definedName>
    <definedName name="Harrow">#REF!</definedName>
    <definedName name="hauling">#REF!,#REF!</definedName>
    <definedName name="herbicide2">#REF!,#REF!</definedName>
    <definedName name="Implementlist">#REF!</definedName>
    <definedName name="Implements">#REF!</definedName>
    <definedName name="Implements7">#REF!</definedName>
    <definedName name="ImplSel">#REF!</definedName>
    <definedName name="import">#REF!</definedName>
    <definedName name="income">#REF!</definedName>
    <definedName name="insecticide2">#REF!,#REF!</definedName>
    <definedName name="Irrigation">#REF!</definedName>
    <definedName name="irrigation2">#REF!</definedName>
    <definedName name="lease_arrangement">#REF!</definedName>
    <definedName name="leasenum">#REF!</definedName>
    <definedName name="mdbvalues">#REF!,#REF!,#REF!,#REF!</definedName>
    <definedName name="Moldboard_Plow">#REF!</definedName>
    <definedName name="NoTill_Drill">#REF!</definedName>
    <definedName name="NoTill_Planter">#REF!</definedName>
    <definedName name="Passes">#REF!,#REF!,#REF!,#REF!</definedName>
    <definedName name="Planter">#REF!</definedName>
    <definedName name="postharvest">#REF!,#REF!,#REF!</definedName>
    <definedName name="Power">#REF!</definedName>
    <definedName name="Power_Size">#REF!</definedName>
    <definedName name="Powerlist">#REF!</definedName>
    <definedName name="PowerSel">#REF!</definedName>
    <definedName name="Presswheel_Drill">#REF!</definedName>
    <definedName name="Primary_Units">#REF!</definedName>
    <definedName name="primyield">#REF!</definedName>
    <definedName name="_xlnm.Print_Area" localSheetId="1">Budget!$B$1:$G$47</definedName>
    <definedName name="_xlnm.Print_Area" localSheetId="2">'Financial Sensitivity'!$B$1:$K$24</definedName>
    <definedName name="PUAlloc">#REF!</definedName>
    <definedName name="PUMiles">#REF!</definedName>
    <definedName name="rental">#REF!,#REF!,#REF!,#REF!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ller_Bar_Rake">#REF!</definedName>
    <definedName name="Round_Baler_Tie">#REF!</definedName>
    <definedName name="seed2">#REF!,#REF!,#REF!</definedName>
    <definedName name="SemiAlloc">#REF!</definedName>
    <definedName name="SemiMiles">#REF!</definedName>
    <definedName name="Silage_Wrapper">#REF!</definedName>
    <definedName name="Soybeanhead_Size">#REF!</definedName>
    <definedName name="SplitRow_Planter">#REF!</definedName>
    <definedName name="storage">#REF!,#REF!</definedName>
    <definedName name="Swather_Mower_Conditioner">#REF!</definedName>
    <definedName name="Tandem_Disk">#REF!</definedName>
    <definedName name="TenWheelAlloc">#REF!</definedName>
    <definedName name="TenWheelMiles">#REF!</definedName>
    <definedName name="VRipper">#REF!</definedName>
    <definedName name="Wheel_Rake">#REF!</definedName>
    <definedName name="wrn.all." hidden="1">{"detail",#N/A,FALSE,"Trac_Table";"tractable",#N/A,FALSE,"Trac_Table";"sensitivity",#N/A,FALSE,"Trac_Table"}</definedName>
    <definedName name="ww">[1]!Table4[Activity]</definedName>
    <definedName name="yiel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H5" i="4"/>
  <c r="G34" i="1" l="1"/>
  <c r="G42" i="1"/>
  <c r="H61" i="1" l="1"/>
  <c r="G41" i="1" s="1"/>
  <c r="G61" i="1"/>
  <c r="G32" i="1" s="1"/>
  <c r="F61" i="1"/>
  <c r="E27" i="1" s="1"/>
  <c r="G33" i="1" l="1"/>
  <c r="G31" i="1"/>
  <c r="G24" i="1"/>
  <c r="G22" i="1"/>
  <c r="G20" i="1"/>
  <c r="G21" i="1"/>
  <c r="G17" i="1"/>
  <c r="G18" i="1"/>
  <c r="G15" i="1"/>
  <c r="G14" i="1"/>
  <c r="G9" i="1" l="1"/>
  <c r="I5" i="4" l="1"/>
  <c r="J5" i="4" l="1"/>
  <c r="K5" i="4"/>
  <c r="G5" i="4"/>
  <c r="F5" i="4"/>
  <c r="E5" i="4"/>
  <c r="D8" i="4"/>
  <c r="D10" i="4"/>
  <c r="D11" i="4"/>
  <c r="D7" i="4"/>
  <c r="D12" i="4"/>
  <c r="D6" i="4"/>
  <c r="G43" i="1" l="1"/>
  <c r="G28" i="1" l="1"/>
  <c r="G29" i="1"/>
  <c r="G30" i="1"/>
  <c r="G27" i="1"/>
  <c r="G8" i="1"/>
  <c r="G10" i="1"/>
  <c r="G11" i="1"/>
  <c r="G23" i="1"/>
  <c r="G12" i="1"/>
  <c r="G6" i="1"/>
  <c r="G3" i="1"/>
  <c r="G25" i="1" l="1"/>
  <c r="G4" i="1"/>
  <c r="E35" i="1" l="1"/>
  <c r="G35" i="1" s="1"/>
  <c r="G37" i="1" s="1"/>
  <c r="G38" i="1" l="1"/>
  <c r="I24" i="4" l="1"/>
  <c r="K21" i="4"/>
  <c r="J20" i="4"/>
  <c r="E19" i="4"/>
  <c r="H19" i="4"/>
  <c r="E18" i="4"/>
  <c r="J18" i="4"/>
  <c r="G23" i="4"/>
  <c r="F21" i="4"/>
  <c r="H23" i="4"/>
  <c r="H22" i="4"/>
  <c r="K23" i="4"/>
  <c r="J21" i="4"/>
  <c r="I23" i="4"/>
  <c r="F22" i="4"/>
  <c r="G20" i="4"/>
  <c r="K20" i="4"/>
  <c r="K24" i="4"/>
  <c r="J24" i="4"/>
  <c r="E24" i="4"/>
  <c r="H20" i="4"/>
  <c r="F18" i="4"/>
  <c r="G22" i="4"/>
  <c r="H24" i="4"/>
  <c r="F20" i="4"/>
  <c r="G19" i="4"/>
  <c r="G18" i="4"/>
  <c r="E20" i="4"/>
  <c r="J23" i="4"/>
  <c r="F23" i="4"/>
  <c r="I22" i="4"/>
  <c r="J19" i="4"/>
  <c r="K19" i="4"/>
  <c r="E23" i="4"/>
  <c r="K18" i="4"/>
  <c r="E22" i="4"/>
  <c r="H18" i="4"/>
  <c r="E21" i="4"/>
  <c r="I21" i="4"/>
  <c r="I20" i="4"/>
  <c r="F19" i="4"/>
  <c r="H21" i="4"/>
  <c r="J22" i="4"/>
  <c r="G24" i="4"/>
  <c r="I18" i="4"/>
  <c r="G21" i="4"/>
  <c r="I19" i="4"/>
  <c r="F24" i="4"/>
  <c r="K22" i="4"/>
  <c r="G44" i="1"/>
  <c r="G45" i="1"/>
  <c r="H9" i="4" l="1"/>
  <c r="I9" i="4"/>
  <c r="J9" i="4"/>
  <c r="K9" i="4"/>
  <c r="F6" i="4"/>
  <c r="J12" i="4"/>
  <c r="E7" i="4"/>
  <c r="H11" i="4"/>
  <c r="E10" i="4"/>
  <c r="I8" i="4"/>
  <c r="H6" i="4"/>
  <c r="K12" i="4"/>
  <c r="J7" i="4"/>
  <c r="F11" i="4"/>
  <c r="G10" i="4"/>
  <c r="J8" i="4"/>
  <c r="I6" i="4"/>
  <c r="H12" i="4"/>
  <c r="H7" i="4"/>
  <c r="E11" i="4"/>
  <c r="H10" i="4"/>
  <c r="G6" i="4"/>
  <c r="E12" i="4"/>
  <c r="I7" i="4"/>
  <c r="I10" i="4"/>
  <c r="H8" i="4"/>
  <c r="G9" i="4"/>
  <c r="E6" i="4"/>
  <c r="G12" i="4"/>
  <c r="I11" i="4"/>
  <c r="J10" i="4"/>
  <c r="F8" i="4"/>
  <c r="E9" i="4"/>
  <c r="K6" i="4"/>
  <c r="K7" i="4"/>
  <c r="J11" i="4"/>
  <c r="K10" i="4"/>
  <c r="E8" i="4"/>
  <c r="F9" i="4"/>
  <c r="I12" i="4"/>
  <c r="F7" i="4"/>
  <c r="K11" i="4"/>
  <c r="F10" i="4"/>
  <c r="G8" i="4"/>
  <c r="J6" i="4"/>
  <c r="F12" i="4"/>
  <c r="G7" i="4"/>
  <c r="G11" i="4"/>
  <c r="K8" i="4"/>
  <c r="G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Rahe, Mallory</author>
  </authors>
  <commentList>
    <comment ref="E37" authorId="0" shapeId="0" xr:uid="{6A3BE275-D44D-4E02-8B12-9A9DFC636D93}">
      <text>
        <r>
          <rPr>
            <sz val="9"/>
            <color indexed="81"/>
            <rFont val="Tahoma"/>
            <family val="2"/>
          </rPr>
          <t xml:space="preserve">The number of months operating expenses are accurring interest.
</t>
        </r>
      </text>
    </comment>
  </commentList>
</comments>
</file>

<file path=xl/sharedStrings.xml><?xml version="1.0" encoding="utf-8"?>
<sst xmlns="http://schemas.openxmlformats.org/spreadsheetml/2006/main" count="175" uniqueCount="121">
  <si>
    <t>Updated: 1/2025</t>
  </si>
  <si>
    <t>This worksheet is for educational purposes only and the user assumes all risks associated with its use.</t>
  </si>
  <si>
    <t>Revenue</t>
  </si>
  <si>
    <t>Unit</t>
  </si>
  <si>
    <t xml:space="preserve"> Quantity</t>
  </si>
  <si>
    <t>each</t>
  </si>
  <si>
    <t>acre</t>
  </si>
  <si>
    <t>ton</t>
  </si>
  <si>
    <t>pound</t>
  </si>
  <si>
    <t>percent</t>
  </si>
  <si>
    <t>Total costs</t>
  </si>
  <si>
    <t>Return over total costs</t>
  </si>
  <si>
    <t>Income</t>
  </si>
  <si>
    <t>Total income</t>
  </si>
  <si>
    <t>Operating costs</t>
  </si>
  <si>
    <t>Total operating costs</t>
  </si>
  <si>
    <t>Ownership costs</t>
  </si>
  <si>
    <t>Total ownership costs</t>
  </si>
  <si>
    <t>Return over operating costs</t>
  </si>
  <si>
    <t>15% more</t>
  </si>
  <si>
    <t>10% more</t>
  </si>
  <si>
    <t>5% more</t>
  </si>
  <si>
    <t>Base</t>
  </si>
  <si>
    <t>5% less</t>
  </si>
  <si>
    <t>10% less</t>
  </si>
  <si>
    <t>15% less</t>
  </si>
  <si>
    <t>20% more</t>
  </si>
  <si>
    <t>30% more</t>
  </si>
  <si>
    <t>20% less</t>
  </si>
  <si>
    <t>30% less</t>
  </si>
  <si>
    <t>% of sales</t>
  </si>
  <si>
    <t>Interest on operating capital</t>
  </si>
  <si>
    <t xml:space="preserve">Budget created by Peter Zimmel, Food and Agricultural Policy Institute (FAPRI). Prices were updated January 2025. Access online at muext.us/MissouriAgBudgets. </t>
  </si>
  <si>
    <t>Explore annual profitability expectations (per acre returns over total costs) under varying yield and price scenarios in full production and holding costs constant. Modify gray cells for further exploration.</t>
  </si>
  <si>
    <t xml:space="preserve">For budget questions, contact: </t>
  </si>
  <si>
    <t>Ryan Milhollin, MU Extension</t>
  </si>
  <si>
    <t xml:space="preserve">For horticulture expertise, contact: </t>
  </si>
  <si>
    <t>MU Commercial Horticulture Team</t>
  </si>
  <si>
    <t xml:space="preserve">Cantaloupe Enterprise Budget for Missouri </t>
  </si>
  <si>
    <t>Price per unit</t>
  </si>
  <si>
    <t>Dollars per acre</t>
  </si>
  <si>
    <t>Cantaloupe Enterprise Budget</t>
  </si>
  <si>
    <t>Cantaloupe</t>
  </si>
  <si>
    <t>Plants</t>
  </si>
  <si>
    <t>Fertilizer and lime</t>
  </si>
  <si>
    <t>Nitrogen (preplant/starter)</t>
  </si>
  <si>
    <t>Nitrogen (sidedress/irrigate)</t>
  </si>
  <si>
    <t>Drip tape</t>
  </si>
  <si>
    <t>Labor</t>
  </si>
  <si>
    <t>Phosphate</t>
  </si>
  <si>
    <t>Potash</t>
  </si>
  <si>
    <t>Lime (spread)</t>
  </si>
  <si>
    <t>Strategy</t>
  </si>
  <si>
    <t>pint</t>
  </si>
  <si>
    <t>Other</t>
  </si>
  <si>
    <t>Assail 30 SG</t>
  </si>
  <si>
    <t>Brigade 2EC</t>
  </si>
  <si>
    <t>ounce</t>
  </si>
  <si>
    <t>enter</t>
  </si>
  <si>
    <t>Bravo Weather Stick</t>
  </si>
  <si>
    <t>Quadris</t>
  </si>
  <si>
    <t>Herbicide</t>
  </si>
  <si>
    <t>Insecticide</t>
  </si>
  <si>
    <t>Fungicide</t>
  </si>
  <si>
    <t>Pollination</t>
  </si>
  <si>
    <t>hive</t>
  </si>
  <si>
    <t>roll</t>
  </si>
  <si>
    <t>Black plastic</t>
  </si>
  <si>
    <t>Packaging bins</t>
  </si>
  <si>
    <t>Irrigation</t>
  </si>
  <si>
    <t>Harvest and grading</t>
  </si>
  <si>
    <t>Plastic disposal</t>
  </si>
  <si>
    <t>hour</t>
  </si>
  <si>
    <t>Machinery fuel/repair/maintenance</t>
  </si>
  <si>
    <t>Irrigation fuel and oil</t>
  </si>
  <si>
    <t>Irrigation repair/maintenance</t>
  </si>
  <si>
    <t xml:space="preserve">Marketing </t>
  </si>
  <si>
    <t>Miscellaneous</t>
  </si>
  <si>
    <t>Land</t>
  </si>
  <si>
    <t>Machinery</t>
  </si>
  <si>
    <t>Item</t>
  </si>
  <si>
    <t>Passes</t>
  </si>
  <si>
    <t>$ per pass</t>
  </si>
  <si>
    <t xml:space="preserve">Chisel plow (9') </t>
  </si>
  <si>
    <t>2WD 75 hp</t>
  </si>
  <si>
    <t>Disk harrow (10')</t>
  </si>
  <si>
    <t>BS, Lay/Tape (bed 6' center)</t>
  </si>
  <si>
    <t>Spray (Broadcast) (27')</t>
  </si>
  <si>
    <t xml:space="preserve">Plntr / H20 (1 row, 6' center) </t>
  </si>
  <si>
    <t>Sprayer air blast (16' 100 gal.)</t>
  </si>
  <si>
    <t>Trailer - vegetables (16')</t>
  </si>
  <si>
    <t>Mulch lifter (1 row)</t>
  </si>
  <si>
    <t>Interest</t>
  </si>
  <si>
    <t>$ per acre</t>
  </si>
  <si>
    <t>years</t>
  </si>
  <si>
    <t>% of investment</t>
  </si>
  <si>
    <t>Overhead irrigation equipment</t>
  </si>
  <si>
    <t>Power unit</t>
  </si>
  <si>
    <t>Purchase price</t>
  </si>
  <si>
    <t>Salvage value</t>
  </si>
  <si>
    <t>Useful life</t>
  </si>
  <si>
    <r>
      <rPr>
        <vertAlign val="superscript"/>
        <sz val="10"/>
        <rFont val="Aptos"/>
        <family val="2"/>
        <scheme val="minor"/>
      </rPr>
      <t>2</t>
    </r>
    <r>
      <rPr>
        <sz val="10"/>
        <rFont val="Aptos"/>
        <family val="2"/>
        <scheme val="minor"/>
      </rPr>
      <t>Machinery ownership cost is the sum of machinery overhead and depreciation.</t>
    </r>
  </si>
  <si>
    <r>
      <rPr>
        <vertAlign val="superscript"/>
        <sz val="10"/>
        <rFont val="Aptos"/>
        <family val="2"/>
        <scheme val="minor"/>
      </rPr>
      <t>1</t>
    </r>
    <r>
      <rPr>
        <sz val="10"/>
        <rFont val="Aptos"/>
        <family val="2"/>
        <scheme val="minor"/>
      </rPr>
      <t>Machinery operating cost is the sum of fuel, repairs and maintenance.</t>
    </r>
  </si>
  <si>
    <r>
      <t>Operating costs</t>
    </r>
    <r>
      <rPr>
        <vertAlign val="superscript"/>
        <sz val="11"/>
        <color theme="1"/>
        <rFont val="Aptos"/>
        <family val="2"/>
        <scheme val="minor"/>
      </rPr>
      <t>1</t>
    </r>
  </si>
  <si>
    <r>
      <t>Ownership costs</t>
    </r>
    <r>
      <rPr>
        <vertAlign val="superscript"/>
        <sz val="11"/>
        <color theme="1"/>
        <rFont val="Aptos"/>
        <family val="2"/>
        <scheme val="minor"/>
      </rPr>
      <t>2</t>
    </r>
  </si>
  <si>
    <t>Total</t>
  </si>
  <si>
    <t>Repairs/maint.</t>
  </si>
  <si>
    <t>hours/pass</t>
  </si>
  <si>
    <t>Melons per acre</t>
  </si>
  <si>
    <t>Price per melon</t>
  </si>
  <si>
    <t>Cantaloupe Price and Yield Sensitivity Table</t>
  </si>
  <si>
    <t>Developed by: Peter Zimmel, FAPRI</t>
  </si>
  <si>
    <t>This budget models one acre of open field cantaloupe production under trickle irrigation. All cantaloupes are modeled to be sold through fresh markets. Develop a customized budget by adjusting the assumptions in gray cells to match the management practices and expected yields and prices for your farm.</t>
  </si>
  <si>
    <t>thousands</t>
  </si>
  <si>
    <t>Dollars per acre
per acre</t>
  </si>
  <si>
    <t>Cantaloupe Operating Costs and Revenue Sensitivity Table</t>
  </si>
  <si>
    <t>Machinery operator (Table 1)</t>
  </si>
  <si>
    <t xml:space="preserve">Table 1: Machinery activities </t>
  </si>
  <si>
    <t xml:space="preserve">Table 2: Irrigation system cost information </t>
  </si>
  <si>
    <t>Irrigation system (Table 2)</t>
  </si>
  <si>
    <t xml:space="preserve">Explore estimated annual per acre returns over total costs under varying revenue and cost scenarios.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</si>
</sst>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0.0%"/>
  </numFmts>
  <fonts count="29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Aptos"/>
      <family val="2"/>
      <scheme val="minor"/>
    </font>
    <font>
      <b/>
      <sz val="12"/>
      <color theme="1"/>
      <name val="Aptos"/>
      <family val="2"/>
      <scheme val="minor"/>
    </font>
    <font>
      <b/>
      <sz val="11"/>
      <name val="Aptos"/>
      <family val="2"/>
      <scheme val="minor"/>
    </font>
    <font>
      <u/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rgb="FF3F3F3F"/>
      <name val="Aptos"/>
      <family val="2"/>
      <scheme val="minor"/>
    </font>
    <font>
      <sz val="11"/>
      <color theme="1"/>
      <name val="Segoe UI"/>
      <family val="2"/>
    </font>
    <font>
      <b/>
      <sz val="14"/>
      <color rgb="FFF1B82D"/>
      <name val="Aptos"/>
      <family val="2"/>
      <scheme val="minor"/>
    </font>
    <font>
      <sz val="12"/>
      <color theme="1"/>
      <name val="Aptos"/>
      <family val="2"/>
      <scheme val="minor"/>
    </font>
    <font>
      <b/>
      <sz val="12"/>
      <color rgb="FF3F3F3F"/>
      <name val="Aptos"/>
      <family val="2"/>
      <scheme val="minor"/>
    </font>
    <font>
      <sz val="12"/>
      <color theme="1"/>
      <name val="Palatino Linotype"/>
      <family val="1"/>
    </font>
    <font>
      <b/>
      <sz val="12"/>
      <name val="Aptos"/>
      <family val="2"/>
      <scheme val="minor"/>
    </font>
    <font>
      <i/>
      <sz val="12"/>
      <color theme="1"/>
      <name val="Aptos"/>
      <family val="2"/>
      <scheme val="minor"/>
    </font>
    <font>
      <sz val="12"/>
      <name val="Aptos"/>
      <family val="2"/>
      <scheme val="minor"/>
    </font>
    <font>
      <b/>
      <sz val="12"/>
      <color rgb="FFF1B82D"/>
      <name val="Aptos"/>
      <family val="2"/>
      <scheme val="minor"/>
    </font>
    <font>
      <sz val="16"/>
      <color rgb="FFFDB719"/>
      <name val="Aptos Black"/>
      <family val="2"/>
      <scheme val="major"/>
    </font>
    <font>
      <b/>
      <sz val="16"/>
      <color rgb="FFF1B82D"/>
      <name val="Aptos Black"/>
      <family val="2"/>
      <scheme val="major"/>
    </font>
    <font>
      <b/>
      <sz val="12"/>
      <color rgb="FFF1B82D"/>
      <name val="Aptos Black"/>
      <family val="2"/>
      <scheme val="major"/>
    </font>
    <font>
      <u/>
      <sz val="11"/>
      <color theme="10"/>
      <name val="Aptos"/>
      <family val="2"/>
      <scheme val="minor"/>
    </font>
    <font>
      <b/>
      <u/>
      <sz val="12"/>
      <color theme="10"/>
      <name val="Aptos"/>
      <family val="2"/>
      <scheme val="minor"/>
    </font>
    <font>
      <sz val="10"/>
      <name val="TimesNewRomanPS"/>
    </font>
    <font>
      <i/>
      <sz val="10"/>
      <color theme="1"/>
      <name val="Aptos"/>
      <family val="2"/>
      <scheme val="minor"/>
    </font>
    <font>
      <sz val="10"/>
      <name val="Aptos"/>
      <family val="2"/>
      <scheme val="minor"/>
    </font>
    <font>
      <vertAlign val="superscript"/>
      <sz val="10"/>
      <name val="Aptos"/>
      <family val="2"/>
      <scheme val="minor"/>
    </font>
    <font>
      <vertAlign val="superscript"/>
      <sz val="11"/>
      <color theme="1"/>
      <name val="Aptos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8" fillId="4" borderId="4" applyNumberFormat="0" applyAlignment="0" applyProtection="0"/>
    <xf numFmtId="0" fontId="1" fillId="0" borderId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/>
  </cellStyleXfs>
  <cellXfs count="14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7" fillId="0" borderId="0" xfId="0" applyFont="1"/>
    <xf numFmtId="9" fontId="7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9" fillId="5" borderId="0" xfId="0" applyFont="1" applyFill="1"/>
    <xf numFmtId="0" fontId="9" fillId="0" borderId="0" xfId="0" applyFont="1"/>
    <xf numFmtId="0" fontId="0" fillId="5" borderId="0" xfId="0" applyFill="1"/>
    <xf numFmtId="0" fontId="3" fillId="5" borderId="0" xfId="0" applyFont="1" applyFill="1" applyAlignment="1">
      <alignment horizontal="left" indent="4"/>
    </xf>
    <xf numFmtId="0" fontId="11" fillId="5" borderId="0" xfId="0" applyFont="1" applyFill="1"/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wrapText="1"/>
    </xf>
    <xf numFmtId="0" fontId="6" fillId="0" borderId="0" xfId="0" applyFont="1"/>
    <xf numFmtId="0" fontId="4" fillId="5" borderId="0" xfId="0" applyFont="1" applyFill="1"/>
    <xf numFmtId="0" fontId="13" fillId="0" borderId="0" xfId="0" applyFont="1"/>
    <xf numFmtId="0" fontId="14" fillId="0" borderId="1" xfId="0" applyFont="1" applyBorder="1"/>
    <xf numFmtId="0" fontId="4" fillId="0" borderId="0" xfId="0" applyFont="1" applyAlignment="1">
      <alignment horizontal="right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164" fontId="11" fillId="0" borderId="2" xfId="0" applyNumberFormat="1" applyFont="1" applyBorder="1"/>
    <xf numFmtId="164" fontId="11" fillId="2" borderId="0" xfId="0" applyNumberFormat="1" applyFont="1" applyFill="1"/>
    <xf numFmtId="0" fontId="11" fillId="0" borderId="3" xfId="0" applyFont="1" applyBorder="1"/>
    <xf numFmtId="0" fontId="11" fillId="0" borderId="11" xfId="0" applyFont="1" applyBorder="1"/>
    <xf numFmtId="0" fontId="17" fillId="3" borderId="17" xfId="0" applyFont="1" applyFill="1" applyBorder="1" applyAlignment="1">
      <alignment horizontal="center" textRotation="90"/>
    </xf>
    <xf numFmtId="0" fontId="15" fillId="3" borderId="19" xfId="0" applyFont="1" applyFill="1" applyBorder="1"/>
    <xf numFmtId="3" fontId="11" fillId="0" borderId="11" xfId="0" applyNumberFormat="1" applyFont="1" applyBorder="1"/>
    <xf numFmtId="0" fontId="15" fillId="3" borderId="20" xfId="0" applyFont="1" applyFill="1" applyBorder="1"/>
    <xf numFmtId="3" fontId="11" fillId="0" borderId="1" xfId="0" applyNumberFormat="1" applyFont="1" applyBorder="1" applyAlignment="1">
      <alignment horizontal="right"/>
    </xf>
    <xf numFmtId="0" fontId="17" fillId="3" borderId="17" xfId="0" applyFont="1" applyFill="1" applyBorder="1" applyAlignment="1">
      <alignment horizontal="center" vertical="center" textRotation="90"/>
    </xf>
    <xf numFmtId="2" fontId="11" fillId="0" borderId="17" xfId="0" applyNumberFormat="1" applyFont="1" applyBorder="1" applyAlignment="1">
      <alignment horizontal="center"/>
    </xf>
    <xf numFmtId="164" fontId="11" fillId="2" borderId="0" xfId="4" applyNumberFormat="1" applyFont="1" applyFill="1" applyProtection="1">
      <protection locked="0"/>
    </xf>
    <xf numFmtId="0" fontId="11" fillId="0" borderId="0" xfId="0" applyFont="1" applyProtection="1">
      <protection locked="0"/>
    </xf>
    <xf numFmtId="165" fontId="11" fillId="2" borderId="0" xfId="0" applyNumberFormat="1" applyFont="1" applyFill="1" applyProtection="1">
      <protection locked="0"/>
    </xf>
    <xf numFmtId="164" fontId="11" fillId="0" borderId="0" xfId="4" applyNumberFormat="1" applyFont="1" applyProtection="1">
      <protection locked="0"/>
    </xf>
    <xf numFmtId="165" fontId="11" fillId="0" borderId="0" xfId="0" applyNumberFormat="1" applyFont="1" applyProtection="1">
      <protection locked="0"/>
    </xf>
    <xf numFmtId="9" fontId="11" fillId="2" borderId="0" xfId="1" applyFont="1" applyFill="1" applyProtection="1">
      <protection locked="0"/>
    </xf>
    <xf numFmtId="10" fontId="11" fillId="2" borderId="0" xfId="0" applyNumberFormat="1" applyFont="1" applyFill="1" applyProtection="1">
      <protection locked="0"/>
    </xf>
    <xf numFmtId="3" fontId="11" fillId="0" borderId="0" xfId="0" applyNumberFormat="1" applyFont="1"/>
    <xf numFmtId="0" fontId="0" fillId="0" borderId="0" xfId="0" applyProtection="1">
      <protection locked="0"/>
    </xf>
    <xf numFmtId="164" fontId="11" fillId="0" borderId="11" xfId="0" applyNumberFormat="1" applyFont="1" applyBorder="1"/>
    <xf numFmtId="164" fontId="11" fillId="0" borderId="3" xfId="0" applyNumberFormat="1" applyFont="1" applyBorder="1"/>
    <xf numFmtId="0" fontId="9" fillId="5" borderId="0" xfId="0" applyFont="1" applyFill="1" applyAlignment="1">
      <alignment horizontal="center"/>
    </xf>
    <xf numFmtId="0" fontId="4" fillId="5" borderId="0" xfId="0" applyFont="1" applyFill="1" applyAlignment="1">
      <alignment horizontal="left" vertical="top" wrapText="1"/>
    </xf>
    <xf numFmtId="3" fontId="11" fillId="2" borderId="11" xfId="0" applyNumberFormat="1" applyFont="1" applyFill="1" applyBorder="1" applyProtection="1">
      <protection locked="0"/>
    </xf>
    <xf numFmtId="7" fontId="11" fillId="0" borderId="12" xfId="4" applyNumberFormat="1" applyFont="1" applyBorder="1" applyAlignment="1">
      <alignment horizontal="center"/>
    </xf>
    <xf numFmtId="7" fontId="11" fillId="2" borderId="12" xfId="4" applyNumberFormat="1" applyFont="1" applyFill="1" applyBorder="1" applyAlignment="1" applyProtection="1">
      <alignment horizontal="center"/>
      <protection locked="0"/>
    </xf>
    <xf numFmtId="0" fontId="4" fillId="5" borderId="0" xfId="0" applyFont="1" applyFill="1" applyAlignment="1">
      <alignment horizontal="right" vertical="top" wrapText="1"/>
    </xf>
    <xf numFmtId="0" fontId="22" fillId="5" borderId="0" xfId="5" applyFont="1" applyFill="1" applyAlignment="1">
      <alignment horizontal="left" vertical="top" wrapText="1"/>
    </xf>
    <xf numFmtId="0" fontId="18" fillId="0" borderId="0" xfId="0" applyFont="1" applyAlignment="1">
      <alignment wrapText="1"/>
    </xf>
    <xf numFmtId="0" fontId="14" fillId="5" borderId="1" xfId="6" applyFont="1" applyFill="1" applyBorder="1" applyAlignment="1">
      <alignment horizontal="left"/>
    </xf>
    <xf numFmtId="2" fontId="14" fillId="5" borderId="1" xfId="6" applyNumberFormat="1" applyFont="1" applyFill="1" applyBorder="1" applyAlignment="1">
      <alignment horizontal="right"/>
    </xf>
    <xf numFmtId="164" fontId="11" fillId="0" borderId="0" xfId="4" applyNumberFormat="1" applyFont="1" applyFill="1" applyProtection="1">
      <protection locked="0"/>
    </xf>
    <xf numFmtId="0" fontId="11" fillId="2" borderId="0" xfId="0" applyFont="1" applyFill="1"/>
    <xf numFmtId="0" fontId="7" fillId="2" borderId="0" xfId="0" applyFont="1" applyFill="1"/>
    <xf numFmtId="165" fontId="11" fillId="2" borderId="0" xfId="0" applyNumberFormat="1" applyFont="1" applyFill="1"/>
    <xf numFmtId="0" fontId="2" fillId="0" borderId="2" xfId="0" applyFont="1" applyBorder="1"/>
    <xf numFmtId="0" fontId="0" fillId="0" borderId="2" xfId="0" applyBorder="1"/>
    <xf numFmtId="164" fontId="0" fillId="0" borderId="2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4" fontId="0" fillId="2" borderId="0" xfId="1" applyNumberFormat="1" applyFont="1" applyFill="1" applyBorder="1"/>
    <xf numFmtId="164" fontId="0" fillId="2" borderId="0" xfId="1" applyNumberFormat="1" applyFont="1" applyFill="1" applyBorder="1"/>
    <xf numFmtId="164" fontId="0" fillId="2" borderId="0" xfId="0" applyNumberFormat="1" applyFill="1"/>
    <xf numFmtId="4" fontId="0" fillId="2" borderId="0" xfId="0" applyNumberFormat="1" applyFill="1"/>
    <xf numFmtId="4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0" fontId="0" fillId="2" borderId="2" xfId="0" applyFill="1" applyBorder="1"/>
    <xf numFmtId="4" fontId="0" fillId="2" borderId="2" xfId="0" applyNumberFormat="1" applyFill="1" applyBorder="1"/>
    <xf numFmtId="164" fontId="0" fillId="2" borderId="2" xfId="0" applyNumberFormat="1" applyFill="1" applyBorder="1"/>
    <xf numFmtId="0" fontId="0" fillId="0" borderId="11" xfId="0" applyBorder="1"/>
    <xf numFmtId="0" fontId="0" fillId="0" borderId="11" xfId="0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2" fillId="0" borderId="1" xfId="0" applyFont="1" applyBorder="1"/>
    <xf numFmtId="0" fontId="0" fillId="2" borderId="1" xfId="0" applyFill="1" applyBorder="1"/>
    <xf numFmtId="166" fontId="0" fillId="2" borderId="1" xfId="0" applyNumberFormat="1" applyFill="1" applyBorder="1"/>
    <xf numFmtId="164" fontId="0" fillId="2" borderId="1" xfId="0" applyNumberFormat="1" applyFill="1" applyBorder="1"/>
    <xf numFmtId="4" fontId="0" fillId="0" borderId="0" xfId="0" applyNumberFormat="1"/>
    <xf numFmtId="164" fontId="0" fillId="0" borderId="0" xfId="0" applyNumberFormat="1"/>
    <xf numFmtId="0" fontId="25" fillId="5" borderId="0" xfId="6" applyFont="1" applyFill="1"/>
    <xf numFmtId="0" fontId="11" fillId="3" borderId="16" xfId="0" applyFont="1" applyFill="1" applyBorder="1"/>
    <xf numFmtId="0" fontId="11" fillId="3" borderId="11" xfId="0" applyFont="1" applyFill="1" applyBorder="1"/>
    <xf numFmtId="0" fontId="11" fillId="3" borderId="12" xfId="0" applyFont="1" applyFill="1" applyBorder="1"/>
    <xf numFmtId="0" fontId="11" fillId="3" borderId="0" xfId="0" applyFont="1" applyFill="1"/>
    <xf numFmtId="0" fontId="16" fillId="5" borderId="0" xfId="0" applyFont="1" applyFill="1" applyAlignment="1">
      <alignment horizontal="right"/>
    </xf>
    <xf numFmtId="0" fontId="16" fillId="5" borderId="13" xfId="0" applyFont="1" applyFill="1" applyBorder="1" applyAlignment="1">
      <alignment horizontal="right"/>
    </xf>
    <xf numFmtId="0" fontId="17" fillId="3" borderId="12" xfId="0" applyFont="1" applyFill="1" applyBorder="1" applyAlignment="1">
      <alignment horizontal="center" textRotation="90"/>
    </xf>
    <xf numFmtId="3" fontId="11" fillId="0" borderId="18" xfId="0" applyNumberFormat="1" applyFont="1" applyBorder="1"/>
    <xf numFmtId="0" fontId="16" fillId="5" borderId="0" xfId="0" applyFont="1" applyFill="1" applyAlignment="1">
      <alignment horizontal="center" vertical="center"/>
    </xf>
    <xf numFmtId="9" fontId="16" fillId="5" borderId="0" xfId="0" applyNumberFormat="1" applyFont="1" applyFill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7" fontId="11" fillId="0" borderId="15" xfId="4" applyNumberFormat="1" applyFont="1" applyBorder="1" applyAlignment="1">
      <alignment horizontal="center"/>
    </xf>
    <xf numFmtId="0" fontId="11" fillId="3" borderId="18" xfId="0" applyFont="1" applyFill="1" applyBorder="1"/>
    <xf numFmtId="0" fontId="11" fillId="3" borderId="13" xfId="0" applyFont="1" applyFill="1" applyBorder="1"/>
    <xf numFmtId="0" fontId="17" fillId="3" borderId="15" xfId="0" applyFont="1" applyFill="1" applyBorder="1" applyAlignment="1">
      <alignment horizontal="center" textRotation="90"/>
    </xf>
    <xf numFmtId="0" fontId="17" fillId="3" borderId="2" xfId="0" applyFont="1" applyFill="1" applyBorder="1" applyAlignment="1">
      <alignment horizontal="center" textRotation="90"/>
    </xf>
    <xf numFmtId="6" fontId="16" fillId="0" borderId="16" xfId="4" applyNumberFormat="1" applyFont="1" applyBorder="1"/>
    <xf numFmtId="6" fontId="16" fillId="0" borderId="11" xfId="4" applyNumberFormat="1" applyFont="1" applyBorder="1"/>
    <xf numFmtId="6" fontId="16" fillId="0" borderId="18" xfId="4" applyNumberFormat="1" applyFont="1" applyBorder="1"/>
    <xf numFmtId="6" fontId="16" fillId="0" borderId="12" xfId="4" applyNumberFormat="1" applyFont="1" applyBorder="1"/>
    <xf numFmtId="6" fontId="16" fillId="0" borderId="0" xfId="4" applyNumberFormat="1" applyFont="1" applyBorder="1"/>
    <xf numFmtId="6" fontId="16" fillId="0" borderId="13" xfId="4" applyNumberFormat="1" applyFont="1" applyBorder="1"/>
    <xf numFmtId="6" fontId="16" fillId="0" borderId="21" xfId="4" applyNumberFormat="1" applyFont="1" applyBorder="1"/>
    <xf numFmtId="6" fontId="16" fillId="0" borderId="15" xfId="4" applyNumberFormat="1" applyFont="1" applyBorder="1"/>
    <xf numFmtId="6" fontId="16" fillId="0" borderId="2" xfId="4" applyNumberFormat="1" applyFont="1" applyBorder="1"/>
    <xf numFmtId="6" fontId="16" fillId="0" borderId="14" xfId="4" applyNumberFormat="1" applyFont="1" applyBorder="1"/>
    <xf numFmtId="3" fontId="11" fillId="0" borderId="23" xfId="0" applyNumberFormat="1" applyFont="1" applyBorder="1" applyAlignment="1">
      <alignment horizontal="right"/>
    </xf>
    <xf numFmtId="3" fontId="11" fillId="0" borderId="24" xfId="0" applyNumberFormat="1" applyFont="1" applyBorder="1" applyAlignment="1">
      <alignment horizontal="right"/>
    </xf>
    <xf numFmtId="0" fontId="11" fillId="3" borderId="28" xfId="0" applyFont="1" applyFill="1" applyBorder="1"/>
    <xf numFmtId="0" fontId="17" fillId="3" borderId="29" xfId="0" applyFont="1" applyFill="1" applyBorder="1" applyAlignment="1">
      <alignment horizontal="center" vertical="center" textRotation="90"/>
    </xf>
    <xf numFmtId="2" fontId="11" fillId="0" borderId="29" xfId="0" applyNumberFormat="1" applyFont="1" applyBorder="1" applyAlignment="1">
      <alignment horizontal="center"/>
    </xf>
    <xf numFmtId="0" fontId="22" fillId="5" borderId="0" xfId="5" applyFont="1" applyFill="1" applyAlignment="1">
      <alignment horizontal="left" wrapText="1"/>
    </xf>
    <xf numFmtId="0" fontId="10" fillId="3" borderId="5" xfId="0" applyFont="1" applyFill="1" applyBorder="1"/>
    <xf numFmtId="0" fontId="10" fillId="3" borderId="6" xfId="0" applyFont="1" applyFill="1" applyBorder="1"/>
    <xf numFmtId="0" fontId="19" fillId="3" borderId="5" xfId="3" applyFont="1" applyFill="1" applyBorder="1" applyAlignment="1">
      <alignment horizontal="center"/>
    </xf>
    <xf numFmtId="0" fontId="19" fillId="3" borderId="6" xfId="3" applyFont="1" applyFill="1" applyBorder="1" applyAlignment="1">
      <alignment horizontal="center"/>
    </xf>
    <xf numFmtId="0" fontId="19" fillId="3" borderId="7" xfId="3" applyFont="1" applyFill="1" applyBorder="1" applyAlignment="1">
      <alignment horizontal="center"/>
    </xf>
    <xf numFmtId="0" fontId="11" fillId="5" borderId="0" xfId="0" applyFont="1" applyFill="1" applyAlignment="1">
      <alignment horizontal="right"/>
    </xf>
    <xf numFmtId="0" fontId="0" fillId="5" borderId="0" xfId="0" applyFill="1"/>
    <xf numFmtId="0" fontId="12" fillId="4" borderId="8" xfId="2" applyFont="1" applyBorder="1" applyAlignment="1">
      <alignment horizontal="center" wrapText="1"/>
    </xf>
    <xf numFmtId="0" fontId="12" fillId="4" borderId="9" xfId="2" applyFont="1" applyBorder="1" applyAlignment="1">
      <alignment horizontal="center" wrapText="1"/>
    </xf>
    <xf numFmtId="0" fontId="12" fillId="4" borderId="10" xfId="2" applyFont="1" applyBorder="1" applyAlignment="1">
      <alignment horizontal="center" wrapText="1"/>
    </xf>
    <xf numFmtId="0" fontId="11" fillId="5" borderId="0" xfId="0" applyFont="1" applyFill="1" applyAlignment="1">
      <alignment horizontal="left" vertical="top" wrapText="1"/>
    </xf>
    <xf numFmtId="0" fontId="9" fillId="5" borderId="0" xfId="0" applyFont="1" applyFill="1" applyAlignment="1">
      <alignment horizontal="center"/>
    </xf>
    <xf numFmtId="0" fontId="4" fillId="5" borderId="0" xfId="0" applyFont="1" applyFill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18" fillId="3" borderId="23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18" fillId="3" borderId="24" xfId="0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5" borderId="0" xfId="0" applyFont="1" applyFill="1" applyAlignment="1">
      <alignment horizontal="center"/>
    </xf>
    <xf numFmtId="0" fontId="20" fillId="3" borderId="26" xfId="0" applyFont="1" applyFill="1" applyBorder="1" applyAlignment="1">
      <alignment horizontal="center" vertical="center" textRotation="90"/>
    </xf>
    <xf numFmtId="0" fontId="20" fillId="3" borderId="27" xfId="0" applyFont="1" applyFill="1" applyBorder="1" applyAlignment="1">
      <alignment horizontal="center" vertical="center" textRotation="90"/>
    </xf>
    <xf numFmtId="0" fontId="20" fillId="3" borderId="25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24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 vertical="center" textRotation="90"/>
    </xf>
    <xf numFmtId="0" fontId="20" fillId="3" borderId="15" xfId="0" applyFont="1" applyFill="1" applyBorder="1" applyAlignment="1">
      <alignment horizontal="center" vertical="center" textRotation="90"/>
    </xf>
    <xf numFmtId="0" fontId="11" fillId="5" borderId="0" xfId="0" applyFont="1" applyFill="1" applyAlignment="1">
      <alignment horizontal="left" wrapText="1"/>
    </xf>
  </cellXfs>
  <cellStyles count="7">
    <cellStyle name="Currency" xfId="4" builtinId="4"/>
    <cellStyle name="Hyperlink" xfId="5" builtinId="8"/>
    <cellStyle name="Normal" xfId="0" builtinId="0"/>
    <cellStyle name="Normal 2" xfId="6" xr:uid="{138806ED-816B-4D53-BED9-1168E54DE5D2}"/>
    <cellStyle name="Normal 2 2" xfId="3" xr:uid="{B82EEC54-C959-4263-882E-61D78481713D}"/>
    <cellStyle name="Output" xfId="2" builtinId="21"/>
    <cellStyle name="Percent" xfId="1" builtinId="5"/>
  </cellStyles>
  <dxfs count="4">
    <dxf>
      <font>
        <color rgb="FFFF0000"/>
      </font>
    </dxf>
    <dxf>
      <font>
        <color rgb="FFFF000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colors>
    <mruColors>
      <color rgb="FFFDB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9525</xdr:colOff>
      <xdr:row>8</xdr:row>
      <xdr:rowOff>114300</xdr:rowOff>
    </xdr:to>
    <xdr:pic>
      <xdr:nvPicPr>
        <xdr:cNvPr id="3" name="Picture 2" descr="University of Missouri - Extension and Food &amp; Agricultural Policy Research Institute">
          <a:extLst>
            <a:ext uri="{FF2B5EF4-FFF2-40B4-BE49-F238E27FC236}">
              <a16:creationId xmlns:a16="http://schemas.microsoft.com/office/drawing/2014/main" id="{88592480-FE63-4673-94EE-E8C172646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885825"/>
          <a:ext cx="2800350" cy="847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ilmissouri-my.sharepoint.com/personal/milhollinr_umsystem_edu/Documents/Crops/Crop%20Budgets/2025/Forage/ForageBudgets%202025.xlsx" TargetMode="External"/><Relationship Id="rId1" Type="http://schemas.openxmlformats.org/officeDocument/2006/relationships/externalLinkPath" Target="/personal/milhollinr_umsystem_edu/Documents/Crops/Crop%20Budgets/2025/Forage/ForageBudg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Inputs"/>
      <sheetName val="Alfalfa Establishment"/>
      <sheetName val="Alfalfa Small Squares"/>
      <sheetName val="Alfalfa Baleage"/>
      <sheetName val="Corn Silage"/>
      <sheetName val="Pasture Establishment"/>
      <sheetName val="Mixed Hay"/>
      <sheetName val="Fescue Seed+Forage"/>
      <sheetName val="Equipment"/>
      <sheetName val="Machinery Input Tables"/>
      <sheetName val="Custom Hire"/>
      <sheetName val="ForageBudgets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Aptos Black"/>
        <a:ea typeface=""/>
        <a:cs typeface=""/>
      </a:majorFont>
      <a:minorFont>
        <a:latin typeface="Aptos"/>
        <a:ea typeface=""/>
        <a:cs typeface="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xtension.missouri.edu/people/ryan-milhollin" TargetMode="External"/><Relationship Id="rId1" Type="http://schemas.openxmlformats.org/officeDocument/2006/relationships/hyperlink" Target="https://extension.missouri.edu/programs/commercial-horticulture/find-a-horticulturist-near-yo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9F4B3-BEC6-433D-A8AA-F26AB248039B}">
  <sheetPr codeName="Sheet1">
    <pageSetUpPr fitToPage="1"/>
  </sheetPr>
  <dimension ref="A1:M27"/>
  <sheetViews>
    <sheetView tabSelected="1" workbookViewId="0"/>
  </sheetViews>
  <sheetFormatPr defaultColWidth="0" defaultRowHeight="16.5" customHeight="1" zeroHeight="1"/>
  <cols>
    <col min="1" max="1" width="2.796875" style="7" customWidth="1"/>
    <col min="2" max="2" width="29.19921875" style="7" customWidth="1"/>
    <col min="3" max="3" width="32.796875" style="7" customWidth="1"/>
    <col min="4" max="4" width="36.59765625" style="7" customWidth="1"/>
    <col min="5" max="5" width="3" style="7" customWidth="1"/>
    <col min="6" max="8" width="9" style="7" hidden="1" customWidth="1"/>
    <col min="9" max="13" width="0" style="7" hidden="1" customWidth="1"/>
    <col min="14" max="16384" width="9" style="7" hidden="1"/>
  </cols>
  <sheetData>
    <row r="1" spans="1:13" ht="17.399999999999999" thickBot="1">
      <c r="A1" s="6"/>
      <c r="B1" s="8"/>
      <c r="C1" s="8"/>
      <c r="D1" s="8"/>
      <c r="E1" s="6"/>
      <c r="F1" s="6"/>
      <c r="G1" s="6"/>
      <c r="H1" s="6"/>
      <c r="I1" s="6"/>
      <c r="J1" s="6"/>
      <c r="K1" s="6"/>
      <c r="L1" s="6"/>
      <c r="M1" s="6"/>
    </row>
    <row r="2" spans="1:13" ht="19.5" customHeight="1" thickBot="1">
      <c r="A2" s="6"/>
      <c r="B2" s="117" t="s">
        <v>38</v>
      </c>
      <c r="C2" s="118"/>
      <c r="D2" s="119"/>
      <c r="E2" s="6"/>
      <c r="F2" s="6"/>
      <c r="G2" s="6"/>
      <c r="H2" s="6"/>
    </row>
    <row r="3" spans="1:13" ht="16.5" customHeight="1">
      <c r="A3" s="6"/>
      <c r="B3" s="120" t="s">
        <v>0</v>
      </c>
      <c r="C3" s="120"/>
      <c r="D3" s="120"/>
      <c r="E3" s="6"/>
      <c r="F3" s="6"/>
      <c r="G3" s="6"/>
      <c r="H3" s="6"/>
    </row>
    <row r="4" spans="1:13" ht="16.8">
      <c r="A4" s="6"/>
      <c r="B4" s="121"/>
      <c r="C4" s="121"/>
      <c r="D4" s="121"/>
      <c r="E4" s="6"/>
      <c r="F4" s="6"/>
      <c r="G4" s="6"/>
      <c r="H4" s="6"/>
    </row>
    <row r="5" spans="1:13" ht="16.8">
      <c r="A5" s="6"/>
      <c r="B5" s="15" t="s">
        <v>111</v>
      </c>
      <c r="C5" s="11"/>
      <c r="D5" s="126"/>
      <c r="E5" s="6"/>
      <c r="F5" s="6"/>
      <c r="G5" s="6"/>
      <c r="H5" s="6"/>
    </row>
    <row r="6" spans="1:13" ht="16.5" customHeight="1">
      <c r="A6" s="6"/>
      <c r="B6" s="127"/>
      <c r="C6" s="127"/>
      <c r="D6" s="126"/>
      <c r="E6" s="6"/>
      <c r="F6" s="6"/>
      <c r="G6" s="6"/>
      <c r="H6" s="6"/>
    </row>
    <row r="7" spans="1:13" ht="16.5" customHeight="1">
      <c r="A7" s="6"/>
      <c r="B7" s="48" t="s">
        <v>34</v>
      </c>
      <c r="C7" s="49" t="s">
        <v>35</v>
      </c>
      <c r="D7" s="43"/>
      <c r="E7" s="6"/>
      <c r="F7" s="6"/>
      <c r="G7" s="6"/>
      <c r="H7" s="6"/>
    </row>
    <row r="8" spans="1:13" ht="8.1" customHeight="1">
      <c r="A8" s="6"/>
      <c r="B8" s="48"/>
      <c r="C8" s="44"/>
      <c r="D8" s="43"/>
      <c r="E8" s="6"/>
      <c r="F8" s="6"/>
      <c r="G8" s="6"/>
      <c r="H8" s="6"/>
    </row>
    <row r="9" spans="1:13" ht="32.549999999999997" customHeight="1">
      <c r="A9" s="6"/>
      <c r="B9" s="48" t="s">
        <v>36</v>
      </c>
      <c r="C9" s="114" t="s">
        <v>37</v>
      </c>
      <c r="D9" s="43"/>
      <c r="E9" s="6"/>
      <c r="F9" s="6"/>
      <c r="G9" s="6"/>
      <c r="H9" s="6"/>
    </row>
    <row r="10" spans="1:13" ht="16.5" customHeight="1">
      <c r="A10" s="6"/>
      <c r="B10" s="9"/>
      <c r="C10"/>
      <c r="D10" s="8"/>
      <c r="E10" s="6"/>
      <c r="F10" s="6"/>
      <c r="G10" s="6"/>
      <c r="H10" s="6"/>
    </row>
    <row r="11" spans="1:13" ht="48.6" customHeight="1">
      <c r="A11" s="6"/>
      <c r="B11" s="125" t="s">
        <v>112</v>
      </c>
      <c r="C11" s="125"/>
      <c r="D11" s="125"/>
      <c r="E11" s="6"/>
      <c r="F11" s="6"/>
      <c r="G11" s="6"/>
      <c r="H11" s="6"/>
    </row>
    <row r="12" spans="1:13" ht="19.5" customHeight="1">
      <c r="A12" s="6"/>
      <c r="B12" s="10"/>
      <c r="C12" s="10"/>
      <c r="D12" s="10"/>
      <c r="E12" s="6"/>
      <c r="F12" s="6"/>
      <c r="G12" s="6"/>
      <c r="H12" s="6"/>
    </row>
    <row r="13" spans="1:13" ht="16.5" customHeight="1">
      <c r="A13" s="6"/>
      <c r="B13" s="122" t="s">
        <v>1</v>
      </c>
      <c r="C13" s="123"/>
      <c r="D13" s="124"/>
      <c r="E13" s="6"/>
      <c r="F13" s="6"/>
      <c r="G13" s="6"/>
      <c r="H13" s="6"/>
    </row>
    <row r="14" spans="1:13" ht="17.399999999999999" thickBot="1">
      <c r="A14" s="6"/>
      <c r="B14" s="8"/>
      <c r="C14" s="8"/>
      <c r="D14" s="8"/>
      <c r="E14" s="6"/>
      <c r="F14" s="6"/>
      <c r="G14" s="6"/>
      <c r="H14" s="6"/>
    </row>
    <row r="15" spans="1:13" ht="19.2" thickBot="1">
      <c r="A15" s="6"/>
      <c r="B15" s="115"/>
      <c r="C15" s="116"/>
      <c r="D15" s="116"/>
      <c r="E15" s="6"/>
      <c r="F15" s="6"/>
      <c r="G15" s="6"/>
      <c r="H15" s="6"/>
    </row>
    <row r="16" spans="1:13" ht="16.8">
      <c r="A16" s="6"/>
      <c r="B16" s="6"/>
      <c r="C16" s="6"/>
      <c r="D16" s="6"/>
      <c r="E16" s="6"/>
      <c r="F16" s="6"/>
      <c r="G16" s="6"/>
      <c r="H16" s="6"/>
    </row>
    <row r="17" spans="1:8" ht="16.8" hidden="1">
      <c r="A17" s="6"/>
      <c r="B17" s="6"/>
      <c r="C17" s="6"/>
      <c r="D17" s="6"/>
      <c r="E17" s="6"/>
      <c r="F17" s="6"/>
      <c r="G17" s="6"/>
      <c r="H17" s="6"/>
    </row>
    <row r="18" spans="1:8" ht="16.8" hidden="1">
      <c r="A18" s="6"/>
      <c r="B18" s="6"/>
      <c r="C18" s="6"/>
      <c r="D18" s="6"/>
      <c r="E18" s="6"/>
      <c r="F18" s="6"/>
      <c r="G18" s="6"/>
      <c r="H18" s="6"/>
    </row>
    <row r="19" spans="1:8" ht="16.8" hidden="1">
      <c r="A19" s="6"/>
      <c r="B19" s="6"/>
      <c r="C19" s="6"/>
      <c r="D19" s="6"/>
      <c r="E19" s="6"/>
      <c r="F19" s="6"/>
      <c r="G19" s="6"/>
      <c r="H19" s="6"/>
    </row>
    <row r="20" spans="1:8" ht="16.8" hidden="1">
      <c r="A20" s="6"/>
      <c r="B20" s="6"/>
      <c r="C20" s="6"/>
      <c r="D20" s="6"/>
      <c r="E20" s="6"/>
      <c r="F20" s="6"/>
      <c r="G20" s="6"/>
      <c r="H20" s="6"/>
    </row>
    <row r="21" spans="1:8" ht="16.8" hidden="1">
      <c r="A21" s="6"/>
      <c r="B21" s="6"/>
      <c r="C21" s="6"/>
      <c r="D21" s="6"/>
      <c r="E21" s="6"/>
      <c r="F21" s="6"/>
      <c r="G21" s="6"/>
      <c r="H21" s="6"/>
    </row>
    <row r="22" spans="1:8" ht="16.8" hidden="1">
      <c r="A22" s="6"/>
      <c r="B22" s="6"/>
      <c r="C22" s="6"/>
      <c r="D22" s="6"/>
      <c r="E22" s="6"/>
      <c r="F22" s="6"/>
      <c r="G22" s="6"/>
      <c r="H22" s="6"/>
    </row>
    <row r="23" spans="1:8" ht="16.8" hidden="1">
      <c r="A23" s="6"/>
      <c r="B23" s="6"/>
      <c r="C23" s="6"/>
      <c r="D23" s="6"/>
      <c r="E23" s="6"/>
      <c r="F23" s="6"/>
      <c r="G23" s="6"/>
      <c r="H23" s="6"/>
    </row>
    <row r="24" spans="1:8" ht="16.8" hidden="1">
      <c r="A24" s="6"/>
      <c r="B24" s="6"/>
      <c r="C24" s="6"/>
      <c r="D24" s="6"/>
      <c r="E24" s="6"/>
      <c r="F24" s="6"/>
      <c r="G24" s="6"/>
      <c r="H24" s="6"/>
    </row>
    <row r="25" spans="1:8" ht="16.8" hidden="1">
      <c r="A25" s="6"/>
    </row>
    <row r="26" spans="1:8" ht="16.8" hidden="1">
      <c r="A26" s="6"/>
    </row>
    <row r="27" spans="1:8" ht="16.8" hidden="1">
      <c r="A27" s="6"/>
    </row>
  </sheetData>
  <sheetProtection sheet="1" objects="1" scenarios="1"/>
  <mergeCells count="8">
    <mergeCell ref="B15:D15"/>
    <mergeCell ref="B2:D2"/>
    <mergeCell ref="B3:D3"/>
    <mergeCell ref="B4:D4"/>
    <mergeCell ref="B13:D13"/>
    <mergeCell ref="B11:D11"/>
    <mergeCell ref="D5:D6"/>
    <mergeCell ref="B6:C6"/>
  </mergeCells>
  <hyperlinks>
    <hyperlink ref="C9" r:id="rId1" xr:uid="{60F8126B-D46E-4ABD-986C-B44783A3E7CD}"/>
    <hyperlink ref="C7" r:id="rId2" xr:uid="{300DED1D-4F06-434C-AD94-7F2F434D14E3}"/>
  </hyperlinks>
  <pageMargins left="0.7" right="0.7" top="0.75" bottom="0.75" header="0.3" footer="0.3"/>
  <pageSetup scale="83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766-5483-41F9-BAE9-B4AA5C1DA5B3}">
  <sheetPr codeName="Sheet2">
    <pageSetUpPr fitToPage="1"/>
  </sheetPr>
  <dimension ref="A1:K70"/>
  <sheetViews>
    <sheetView showGridLines="0" zoomScaleNormal="100" workbookViewId="0"/>
  </sheetViews>
  <sheetFormatPr defaultColWidth="0" defaultRowHeight="15.6" zeroHeight="1"/>
  <cols>
    <col min="1" max="1" width="3.09765625" style="1" customWidth="1"/>
    <col min="2" max="2" width="1.59765625" style="1" customWidth="1"/>
    <col min="3" max="3" width="30.796875" style="1" customWidth="1"/>
    <col min="4" max="4" width="12.59765625" style="1" customWidth="1"/>
    <col min="5" max="5" width="11.59765625" style="1" customWidth="1"/>
    <col min="6" max="6" width="13.19921875" style="1" customWidth="1"/>
    <col min="7" max="7" width="16.59765625" style="1" customWidth="1"/>
    <col min="8" max="8" width="14.796875" style="1" customWidth="1"/>
    <col min="9" max="9" width="3.09765625" style="1" customWidth="1"/>
    <col min="10" max="10" width="9" style="1" hidden="1" customWidth="1"/>
    <col min="11" max="11" width="10" style="1" hidden="1" customWidth="1"/>
    <col min="12" max="16384" width="9" style="1" hidden="1"/>
  </cols>
  <sheetData>
    <row r="1" spans="1:8" ht="21.75" customHeight="1">
      <c r="B1" s="129" t="s">
        <v>41</v>
      </c>
      <c r="C1" s="130"/>
      <c r="D1" s="130"/>
      <c r="E1" s="130"/>
      <c r="F1" s="130"/>
      <c r="G1" s="131"/>
      <c r="H1" s="50"/>
    </row>
    <row r="2" spans="1:8" ht="16.05" customHeight="1">
      <c r="A2" s="16"/>
      <c r="B2" s="51" t="s">
        <v>12</v>
      </c>
      <c r="C2" s="51"/>
      <c r="D2" s="51" t="s">
        <v>3</v>
      </c>
      <c r="E2" s="52" t="s">
        <v>4</v>
      </c>
      <c r="F2" s="52" t="s">
        <v>39</v>
      </c>
      <c r="G2" s="52" t="s">
        <v>40</v>
      </c>
      <c r="H2" s="20"/>
    </row>
    <row r="3" spans="1:8" ht="16.05" customHeight="1">
      <c r="A3" s="16"/>
      <c r="B3" s="11" t="s">
        <v>42</v>
      </c>
      <c r="C3" s="11"/>
      <c r="D3" t="s">
        <v>5</v>
      </c>
      <c r="E3" s="34">
        <v>4800</v>
      </c>
      <c r="F3" s="32">
        <v>2.4500000000000002</v>
      </c>
      <c r="G3" s="21">
        <f>E3*F3</f>
        <v>11760</v>
      </c>
      <c r="H3" s="11"/>
    </row>
    <row r="4" spans="1:8" ht="16.05" customHeight="1">
      <c r="A4" s="16"/>
      <c r="B4" s="16"/>
      <c r="C4" s="18" t="s">
        <v>13</v>
      </c>
      <c r="D4"/>
      <c r="E4" s="11"/>
      <c r="F4" s="11"/>
      <c r="G4" s="12">
        <f>G3</f>
        <v>11760</v>
      </c>
      <c r="H4" s="11"/>
    </row>
    <row r="5" spans="1:8" ht="16.05" customHeight="1">
      <c r="A5" s="16"/>
      <c r="B5" s="17" t="s">
        <v>14</v>
      </c>
      <c r="C5" s="17"/>
      <c r="D5" s="51" t="s">
        <v>3</v>
      </c>
      <c r="E5" s="52" t="s">
        <v>4</v>
      </c>
      <c r="F5" s="52" t="s">
        <v>39</v>
      </c>
      <c r="G5" s="52" t="s">
        <v>40</v>
      </c>
      <c r="H5" s="20"/>
    </row>
    <row r="6" spans="1:8" ht="16.05" customHeight="1">
      <c r="A6" s="16"/>
      <c r="B6" s="11" t="s">
        <v>43</v>
      </c>
      <c r="C6" s="11"/>
      <c r="D6" s="3" t="s">
        <v>113</v>
      </c>
      <c r="E6" s="34">
        <v>3.6</v>
      </c>
      <c r="F6" s="32">
        <v>197.55</v>
      </c>
      <c r="G6" s="12">
        <f>E6*F6</f>
        <v>711.18000000000006</v>
      </c>
      <c r="H6" s="11"/>
    </row>
    <row r="7" spans="1:8" ht="16.05" customHeight="1">
      <c r="A7" s="16"/>
      <c r="B7" s="11" t="s">
        <v>44</v>
      </c>
      <c r="C7" s="11"/>
      <c r="D7" s="3"/>
      <c r="E7" s="36"/>
      <c r="F7" s="35"/>
      <c r="G7" s="12"/>
      <c r="H7" s="11"/>
    </row>
    <row r="8" spans="1:8" ht="16.05" customHeight="1">
      <c r="A8" s="16"/>
      <c r="B8" s="16"/>
      <c r="C8" s="11" t="s">
        <v>45</v>
      </c>
      <c r="D8" s="3" t="s">
        <v>8</v>
      </c>
      <c r="E8" s="34">
        <v>50</v>
      </c>
      <c r="F8" s="32">
        <v>0.45</v>
      </c>
      <c r="G8" s="12">
        <f>E8*F8</f>
        <v>22.5</v>
      </c>
      <c r="H8" s="11"/>
    </row>
    <row r="9" spans="1:8" ht="16.05" customHeight="1">
      <c r="A9" s="16"/>
      <c r="B9" s="16"/>
      <c r="C9" s="11" t="s">
        <v>46</v>
      </c>
      <c r="D9" s="3" t="s">
        <v>8</v>
      </c>
      <c r="E9" s="34">
        <v>45</v>
      </c>
      <c r="F9" s="32">
        <v>0.45</v>
      </c>
      <c r="G9" s="12">
        <f>E9*F9</f>
        <v>20.25</v>
      </c>
      <c r="H9" s="11"/>
    </row>
    <row r="10" spans="1:8" ht="16.05" customHeight="1">
      <c r="A10" s="16"/>
      <c r="B10" s="16"/>
      <c r="C10" s="11" t="s">
        <v>49</v>
      </c>
      <c r="D10" s="3" t="s">
        <v>8</v>
      </c>
      <c r="E10" s="34">
        <v>125</v>
      </c>
      <c r="F10" s="32">
        <v>0.55000000000000004</v>
      </c>
      <c r="G10" s="12">
        <f>E10*F10</f>
        <v>68.75</v>
      </c>
      <c r="H10" s="11"/>
    </row>
    <row r="11" spans="1:8" ht="16.05" customHeight="1">
      <c r="A11" s="16"/>
      <c r="B11" s="16"/>
      <c r="C11" s="11" t="s">
        <v>50</v>
      </c>
      <c r="D11" s="3" t="s">
        <v>8</v>
      </c>
      <c r="E11" s="34">
        <v>100</v>
      </c>
      <c r="F11" s="32">
        <v>0.38</v>
      </c>
      <c r="G11" s="12">
        <f>E11*F11</f>
        <v>38</v>
      </c>
      <c r="H11" s="11"/>
    </row>
    <row r="12" spans="1:8" ht="16.05" customHeight="1">
      <c r="A12" s="16"/>
      <c r="B12" s="16"/>
      <c r="C12" s="11" t="s">
        <v>51</v>
      </c>
      <c r="D12" s="3" t="s">
        <v>7</v>
      </c>
      <c r="E12" s="34">
        <v>0.5</v>
      </c>
      <c r="F12" s="32">
        <v>30</v>
      </c>
      <c r="G12" s="12">
        <f>E12*F12</f>
        <v>15</v>
      </c>
      <c r="H12" s="11"/>
    </row>
    <row r="13" spans="1:8" ht="16.05" customHeight="1">
      <c r="A13" s="16"/>
      <c r="B13" s="11" t="s">
        <v>61</v>
      </c>
      <c r="C13" s="11"/>
      <c r="D13" s="3"/>
      <c r="E13" s="36"/>
      <c r="F13" s="53"/>
      <c r="G13" s="12"/>
      <c r="H13" s="11"/>
    </row>
    <row r="14" spans="1:8" ht="16.05" customHeight="1">
      <c r="A14" s="16"/>
      <c r="B14" s="16"/>
      <c r="C14" s="54" t="s">
        <v>52</v>
      </c>
      <c r="D14" s="55" t="s">
        <v>53</v>
      </c>
      <c r="E14" s="34">
        <v>2</v>
      </c>
      <c r="F14" s="32">
        <v>11.75</v>
      </c>
      <c r="G14" s="12">
        <f t="shared" ref="G14:G22" si="0">E14*F14</f>
        <v>23.5</v>
      </c>
      <c r="H14" s="11"/>
    </row>
    <row r="15" spans="1:8" ht="16.05" customHeight="1">
      <c r="A15" s="16"/>
      <c r="B15" s="16"/>
      <c r="C15" s="54" t="s">
        <v>54</v>
      </c>
      <c r="D15" s="55" t="s">
        <v>58</v>
      </c>
      <c r="E15" s="34">
        <v>0</v>
      </c>
      <c r="F15" s="32">
        <v>0</v>
      </c>
      <c r="G15" s="12">
        <f t="shared" si="0"/>
        <v>0</v>
      </c>
      <c r="H15" s="11"/>
    </row>
    <row r="16" spans="1:8" ht="16.05" customHeight="1">
      <c r="A16" s="16"/>
      <c r="B16" s="11" t="s">
        <v>62</v>
      </c>
      <c r="C16" s="11"/>
      <c r="D16" s="3"/>
      <c r="E16" s="36"/>
      <c r="F16" s="53"/>
      <c r="G16" s="12"/>
      <c r="H16" s="11"/>
    </row>
    <row r="17" spans="1:11" ht="16.05" customHeight="1">
      <c r="A17" s="16"/>
      <c r="B17" s="11"/>
      <c r="C17" s="54" t="s">
        <v>55</v>
      </c>
      <c r="D17" s="55" t="s">
        <v>57</v>
      </c>
      <c r="E17" s="34">
        <v>4</v>
      </c>
      <c r="F17" s="32">
        <v>2.73</v>
      </c>
      <c r="G17" s="12">
        <f t="shared" si="0"/>
        <v>10.92</v>
      </c>
      <c r="H17" s="11"/>
    </row>
    <row r="18" spans="1:11" ht="16.05" customHeight="1">
      <c r="A18" s="16"/>
      <c r="B18" s="11"/>
      <c r="C18" s="54" t="s">
        <v>56</v>
      </c>
      <c r="D18" s="55" t="s">
        <v>57</v>
      </c>
      <c r="E18" s="34">
        <v>12</v>
      </c>
      <c r="F18" s="32">
        <v>0.22</v>
      </c>
      <c r="G18" s="12">
        <f t="shared" si="0"/>
        <v>2.64</v>
      </c>
      <c r="H18" s="11"/>
    </row>
    <row r="19" spans="1:11" ht="16.05" customHeight="1">
      <c r="A19" s="16"/>
      <c r="B19" s="11" t="s">
        <v>63</v>
      </c>
      <c r="C19" s="11"/>
      <c r="D19" s="3"/>
      <c r="E19" s="36"/>
      <c r="F19" s="35"/>
      <c r="G19" s="12"/>
      <c r="H19" s="11"/>
    </row>
    <row r="20" spans="1:11" ht="16.05" customHeight="1">
      <c r="A20" s="16"/>
      <c r="C20" s="54" t="s">
        <v>59</v>
      </c>
      <c r="D20" s="55" t="s">
        <v>53</v>
      </c>
      <c r="E20" s="34">
        <v>5</v>
      </c>
      <c r="F20" s="32">
        <v>7.25</v>
      </c>
      <c r="G20" s="12">
        <f t="shared" si="0"/>
        <v>36.25</v>
      </c>
      <c r="H20" s="11"/>
    </row>
    <row r="21" spans="1:11" ht="16.05" customHeight="1">
      <c r="A21" s="16"/>
      <c r="B21" s="16"/>
      <c r="C21" s="54" t="s">
        <v>60</v>
      </c>
      <c r="D21" s="55" t="s">
        <v>57</v>
      </c>
      <c r="E21" s="34">
        <v>22</v>
      </c>
      <c r="F21" s="32">
        <v>1.17</v>
      </c>
      <c r="G21" s="12">
        <f t="shared" si="0"/>
        <v>25.74</v>
      </c>
      <c r="H21" s="11"/>
    </row>
    <row r="22" spans="1:11" ht="16.05" customHeight="1">
      <c r="A22" s="16"/>
      <c r="B22" s="11" t="s">
        <v>64</v>
      </c>
      <c r="C22" s="11"/>
      <c r="D22" s="3" t="s">
        <v>65</v>
      </c>
      <c r="E22" s="34">
        <v>1</v>
      </c>
      <c r="F22" s="32">
        <v>94.2</v>
      </c>
      <c r="G22" s="12">
        <f t="shared" si="0"/>
        <v>94.2</v>
      </c>
      <c r="H22" s="11"/>
    </row>
    <row r="23" spans="1:11" ht="16.05" customHeight="1">
      <c r="A23" s="16"/>
      <c r="B23" s="11" t="s">
        <v>47</v>
      </c>
      <c r="C23" s="11"/>
      <c r="D23" s="3" t="s">
        <v>66</v>
      </c>
      <c r="E23" s="34">
        <v>1.2</v>
      </c>
      <c r="F23" s="32">
        <v>80.31</v>
      </c>
      <c r="G23" s="12">
        <f>E23*F23</f>
        <v>96.372</v>
      </c>
      <c r="H23" s="11"/>
    </row>
    <row r="24" spans="1:11" ht="16.05" customHeight="1">
      <c r="A24" s="16"/>
      <c r="B24" s="11" t="s">
        <v>67</v>
      </c>
      <c r="C24" s="11"/>
      <c r="D24" s="3" t="s">
        <v>66</v>
      </c>
      <c r="E24" s="34">
        <v>1.8</v>
      </c>
      <c r="F24" s="32">
        <v>179.95</v>
      </c>
      <c r="G24" s="12">
        <f>E24*F24</f>
        <v>323.90999999999997</v>
      </c>
      <c r="H24" s="11"/>
    </row>
    <row r="25" spans="1:11" ht="16.05" customHeight="1">
      <c r="A25" s="16"/>
      <c r="B25" s="11" t="s">
        <v>68</v>
      </c>
      <c r="C25" s="11"/>
      <c r="D25" s="3" t="s">
        <v>5</v>
      </c>
      <c r="E25" s="34">
        <v>48</v>
      </c>
      <c r="F25" s="32">
        <v>14.58</v>
      </c>
      <c r="G25" s="12">
        <f>E25*F25</f>
        <v>699.84</v>
      </c>
      <c r="H25" s="11"/>
      <c r="J25" s="2"/>
      <c r="K25" s="2"/>
    </row>
    <row r="26" spans="1:11" ht="16.05" customHeight="1">
      <c r="A26" s="16"/>
      <c r="B26" s="11" t="s">
        <v>48</v>
      </c>
      <c r="C26" s="11"/>
      <c r="D26" s="3"/>
      <c r="E26" s="36"/>
      <c r="F26" s="33"/>
      <c r="G26" s="12"/>
      <c r="H26" s="11"/>
      <c r="J26" s="2"/>
      <c r="K26" s="2"/>
    </row>
    <row r="27" spans="1:11" ht="16.05" customHeight="1">
      <c r="A27" s="16"/>
      <c r="B27" s="16"/>
      <c r="C27" s="11" t="s">
        <v>116</v>
      </c>
      <c r="D27" s="3" t="s">
        <v>72</v>
      </c>
      <c r="E27" s="36">
        <f>F61</f>
        <v>6.51</v>
      </c>
      <c r="F27" s="32">
        <v>18.86</v>
      </c>
      <c r="G27" s="12">
        <f>E27*F27</f>
        <v>122.7786</v>
      </c>
      <c r="H27" s="11"/>
      <c r="J27" s="2"/>
      <c r="K27" s="2"/>
    </row>
    <row r="28" spans="1:11" ht="16.05" customHeight="1">
      <c r="A28" s="16"/>
      <c r="B28" s="16"/>
      <c r="C28" s="11" t="s">
        <v>69</v>
      </c>
      <c r="D28" s="3" t="s">
        <v>72</v>
      </c>
      <c r="E28" s="34">
        <v>7</v>
      </c>
      <c r="F28" s="32">
        <v>15.71</v>
      </c>
      <c r="G28" s="12">
        <f>E28*F28</f>
        <v>109.97</v>
      </c>
      <c r="H28" s="11"/>
      <c r="J28" s="2"/>
      <c r="K28" s="2"/>
    </row>
    <row r="29" spans="1:11" ht="16.05" customHeight="1">
      <c r="A29" s="16"/>
      <c r="C29" s="11" t="s">
        <v>70</v>
      </c>
      <c r="D29" s="3" t="s">
        <v>72</v>
      </c>
      <c r="E29" s="34">
        <v>52</v>
      </c>
      <c r="F29" s="32">
        <v>15.71</v>
      </c>
      <c r="G29" s="12">
        <f>E29*F29</f>
        <v>816.92000000000007</v>
      </c>
      <c r="H29" s="11"/>
      <c r="J29" s="2"/>
      <c r="K29" s="2"/>
    </row>
    <row r="30" spans="1:11" ht="16.05" customHeight="1">
      <c r="A30" s="16"/>
      <c r="C30" s="11" t="s">
        <v>71</v>
      </c>
      <c r="D30" s="3" t="s">
        <v>72</v>
      </c>
      <c r="E30" s="34">
        <v>18</v>
      </c>
      <c r="F30" s="32">
        <v>15.71</v>
      </c>
      <c r="G30" s="12">
        <f>E30*F30</f>
        <v>282.78000000000003</v>
      </c>
      <c r="H30" s="11"/>
      <c r="J30" s="2"/>
      <c r="K30" s="2"/>
    </row>
    <row r="31" spans="1:11" ht="16.05" customHeight="1">
      <c r="A31" s="16"/>
      <c r="B31" s="11"/>
      <c r="C31" s="11" t="s">
        <v>54</v>
      </c>
      <c r="D31" s="3" t="s">
        <v>72</v>
      </c>
      <c r="E31" s="34">
        <v>20</v>
      </c>
      <c r="F31" s="32">
        <v>15.71</v>
      </c>
      <c r="G31" s="12">
        <f>E31*F31</f>
        <v>314.20000000000005</v>
      </c>
      <c r="H31" s="11"/>
      <c r="J31" s="2"/>
      <c r="K31" s="2"/>
    </row>
    <row r="32" spans="1:11" ht="16.05" customHeight="1">
      <c r="A32" s="16"/>
      <c r="B32" s="132" t="s">
        <v>73</v>
      </c>
      <c r="C32" s="132"/>
      <c r="D32" s="3" t="s">
        <v>6</v>
      </c>
      <c r="E32" s="36"/>
      <c r="F32" s="53"/>
      <c r="G32" s="12">
        <f>G61</f>
        <v>365.41215299652936</v>
      </c>
      <c r="H32" s="11"/>
      <c r="J32" s="2"/>
      <c r="K32" s="2"/>
    </row>
    <row r="33" spans="1:11" ht="16.05" customHeight="1">
      <c r="A33" s="16"/>
      <c r="B33" s="132" t="s">
        <v>74</v>
      </c>
      <c r="C33" s="132"/>
      <c r="D33" s="3" t="s">
        <v>72</v>
      </c>
      <c r="E33" s="34">
        <v>28</v>
      </c>
      <c r="F33" s="32">
        <v>1.53</v>
      </c>
      <c r="G33" s="12">
        <f>E33*F33</f>
        <v>42.84</v>
      </c>
      <c r="H33" s="11"/>
      <c r="J33" s="2"/>
      <c r="K33" s="2"/>
    </row>
    <row r="34" spans="1:11" ht="16.05" customHeight="1">
      <c r="A34" s="16"/>
      <c r="B34" s="11" t="s">
        <v>75</v>
      </c>
      <c r="C34" s="11"/>
      <c r="D34" s="3" t="s">
        <v>6</v>
      </c>
      <c r="E34" s="36"/>
      <c r="F34" s="53"/>
      <c r="G34" s="12">
        <f>(D68+(D68*F68))/2*G68</f>
        <v>15</v>
      </c>
      <c r="H34" s="11"/>
      <c r="J34" s="2"/>
      <c r="K34" s="2"/>
    </row>
    <row r="35" spans="1:11" ht="16.05" customHeight="1">
      <c r="A35" s="16"/>
      <c r="B35" s="11" t="s">
        <v>76</v>
      </c>
      <c r="C35" s="11"/>
      <c r="D35" s="4" t="s">
        <v>30</v>
      </c>
      <c r="E35" s="36">
        <f>G4</f>
        <v>11760</v>
      </c>
      <c r="F35" s="37">
        <v>0.1</v>
      </c>
      <c r="G35" s="12">
        <f>E35*F35</f>
        <v>1176</v>
      </c>
      <c r="H35" s="11"/>
    </row>
    <row r="36" spans="1:11" ht="16.05" customHeight="1">
      <c r="A36" s="16"/>
      <c r="B36" s="11" t="s">
        <v>77</v>
      </c>
      <c r="D36" s="3" t="s">
        <v>6</v>
      </c>
      <c r="G36" s="22">
        <v>12.56</v>
      </c>
      <c r="H36" s="11"/>
    </row>
    <row r="37" spans="1:11" ht="16.05" customHeight="1">
      <c r="B37" s="11" t="s">
        <v>31</v>
      </c>
      <c r="C37" s="13"/>
      <c r="D37" s="3" t="s">
        <v>9</v>
      </c>
      <c r="E37" s="56">
        <v>6</v>
      </c>
      <c r="F37" s="38">
        <v>7.7499999999999999E-2</v>
      </c>
      <c r="G37" s="21">
        <f>SUM(G6:G36)*F37*E37/12</f>
        <v>211.09111917861551</v>
      </c>
      <c r="H37" s="11"/>
    </row>
    <row r="38" spans="1:11" ht="16.05" customHeight="1">
      <c r="C38" s="18" t="s">
        <v>15</v>
      </c>
      <c r="D38" s="3"/>
      <c r="E38" s="39"/>
      <c r="F38" s="11"/>
      <c r="G38" s="12">
        <f>SUM(G6:G37)</f>
        <v>5658.6038721751456</v>
      </c>
      <c r="H38" s="12"/>
    </row>
    <row r="39" spans="1:11" ht="16.05" customHeight="1">
      <c r="B39" s="17" t="s">
        <v>16</v>
      </c>
      <c r="C39" s="17"/>
      <c r="D39" s="5" t="s">
        <v>3</v>
      </c>
      <c r="E39" s="19"/>
      <c r="F39" s="19"/>
      <c r="G39" s="19" t="s">
        <v>114</v>
      </c>
      <c r="H39" s="20"/>
    </row>
    <row r="40" spans="1:11" ht="16.05" customHeight="1">
      <c r="B40" s="11" t="s">
        <v>78</v>
      </c>
      <c r="C40" s="11"/>
      <c r="D40" s="3" t="s">
        <v>6</v>
      </c>
      <c r="E40" s="11"/>
      <c r="F40" s="11"/>
      <c r="G40" s="22">
        <v>185</v>
      </c>
      <c r="H40" s="11"/>
    </row>
    <row r="41" spans="1:11" ht="16.05" customHeight="1">
      <c r="B41" s="11" t="s">
        <v>79</v>
      </c>
      <c r="C41" s="11"/>
      <c r="D41" s="3" t="s">
        <v>6</v>
      </c>
      <c r="E41" s="11"/>
      <c r="F41" s="11"/>
      <c r="G41" s="12">
        <f>H61</f>
        <v>203.89251467736347</v>
      </c>
      <c r="H41" s="11"/>
    </row>
    <row r="42" spans="1:11" ht="16.05" customHeight="1">
      <c r="B42" s="11" t="s">
        <v>119</v>
      </c>
      <c r="C42" s="11"/>
      <c r="D42" s="3" t="s">
        <v>6</v>
      </c>
      <c r="E42" s="11"/>
      <c r="F42" s="11"/>
      <c r="G42" s="21">
        <f>(D68-(D68*F68))/E68+((D68+(D68*F68))/2*H68)</f>
        <v>130</v>
      </c>
      <c r="H42" s="11"/>
    </row>
    <row r="43" spans="1:11" ht="16.05" customHeight="1">
      <c r="C43" s="18" t="s">
        <v>17</v>
      </c>
      <c r="D43"/>
      <c r="E43" s="11"/>
      <c r="F43" s="11"/>
      <c r="G43" s="12">
        <f>SUM(G40:G42)</f>
        <v>518.89251467736347</v>
      </c>
      <c r="H43" s="11"/>
    </row>
    <row r="44" spans="1:11" ht="16.05" customHeight="1">
      <c r="B44" s="57"/>
      <c r="C44" s="18" t="s">
        <v>10</v>
      </c>
      <c r="D44" s="58"/>
      <c r="E44" s="11"/>
      <c r="F44" s="11"/>
      <c r="G44" s="12">
        <f>G38+G43</f>
        <v>6177.4963868525092</v>
      </c>
      <c r="H44" s="12"/>
    </row>
    <row r="45" spans="1:11" ht="16.05" customHeight="1">
      <c r="B45" s="133" t="s">
        <v>18</v>
      </c>
      <c r="C45" s="133"/>
      <c r="D45" s="133"/>
      <c r="E45" s="24"/>
      <c r="F45" s="24"/>
      <c r="G45" s="41">
        <f>G4-G38</f>
        <v>6101.3961278248544</v>
      </c>
      <c r="H45" s="12"/>
    </row>
    <row r="46" spans="1:11" ht="16.05" customHeight="1" thickBot="1">
      <c r="B46" s="134" t="s">
        <v>11</v>
      </c>
      <c r="C46" s="134"/>
      <c r="D46" s="134"/>
      <c r="E46" s="23"/>
      <c r="F46" s="23"/>
      <c r="G46" s="42">
        <f>G4-G44</f>
        <v>5582.5036131474908</v>
      </c>
      <c r="H46" s="12"/>
    </row>
    <row r="47" spans="1:11" ht="28.05" customHeight="1" thickTop="1">
      <c r="B47" s="128" t="s">
        <v>32</v>
      </c>
      <c r="C47" s="128"/>
      <c r="D47" s="128"/>
      <c r="E47" s="128"/>
      <c r="F47" s="128"/>
      <c r="G47" s="128"/>
      <c r="H47" s="40"/>
    </row>
    <row r="48" spans="1:11" ht="16.05" customHeight="1">
      <c r="C48"/>
      <c r="D48"/>
      <c r="E48"/>
      <c r="F48"/>
      <c r="G48"/>
      <c r="H48"/>
    </row>
    <row r="49" spans="1:9" ht="16.05" customHeight="1">
      <c r="C49" s="14"/>
      <c r="D49"/>
      <c r="E49"/>
      <c r="F49"/>
      <c r="G49"/>
      <c r="H49"/>
    </row>
    <row r="50" spans="1:9" ht="16.05" customHeight="1">
      <c r="A50"/>
      <c r="B50" s="58" t="s">
        <v>117</v>
      </c>
      <c r="C50" s="57"/>
      <c r="D50" s="58"/>
      <c r="E50" s="58"/>
      <c r="F50" s="59"/>
      <c r="G50" s="59"/>
      <c r="H50" s="58"/>
      <c r="I50"/>
    </row>
    <row r="51" spans="1:9" ht="16.05" customHeight="1">
      <c r="A51"/>
      <c r="B51"/>
      <c r="C51" t="s">
        <v>80</v>
      </c>
      <c r="D51" t="s">
        <v>97</v>
      </c>
      <c r="E51" s="61" t="s">
        <v>81</v>
      </c>
      <c r="F51" s="60" t="s">
        <v>48</v>
      </c>
      <c r="G51" s="60" t="s">
        <v>103</v>
      </c>
      <c r="H51" s="61" t="s">
        <v>104</v>
      </c>
    </row>
    <row r="52" spans="1:9" ht="16.05" customHeight="1">
      <c r="A52"/>
      <c r="B52" s="58"/>
      <c r="C52" s="57"/>
      <c r="D52" s="57"/>
      <c r="E52" s="57"/>
      <c r="F52" s="74" t="s">
        <v>107</v>
      </c>
      <c r="G52" s="74" t="s">
        <v>82</v>
      </c>
      <c r="H52" s="75" t="s">
        <v>82</v>
      </c>
    </row>
    <row r="53" spans="1:9" ht="16.05" customHeight="1">
      <c r="A53"/>
      <c r="B53"/>
      <c r="C53" s="62" t="s">
        <v>83</v>
      </c>
      <c r="D53" s="62" t="s">
        <v>84</v>
      </c>
      <c r="E53" s="62">
        <v>1</v>
      </c>
      <c r="F53" s="63">
        <v>0.22</v>
      </c>
      <c r="G53" s="64">
        <v>6.123675356215232</v>
      </c>
      <c r="H53" s="65">
        <v>2.7599663577308089</v>
      </c>
    </row>
    <row r="54" spans="1:9" ht="16.05" customHeight="1">
      <c r="A54"/>
      <c r="B54"/>
      <c r="C54" s="62" t="s">
        <v>85</v>
      </c>
      <c r="D54" s="62" t="s">
        <v>84</v>
      </c>
      <c r="E54" s="62">
        <v>1</v>
      </c>
      <c r="F54" s="66">
        <v>0.19800000000000001</v>
      </c>
      <c r="G54" s="65">
        <v>6.1606391913634102</v>
      </c>
      <c r="H54" s="65">
        <v>2.9940706470026179</v>
      </c>
    </row>
    <row r="55" spans="1:9" ht="16.05" customHeight="1">
      <c r="A55"/>
      <c r="B55"/>
      <c r="C55" s="62" t="s">
        <v>86</v>
      </c>
      <c r="D55" s="62" t="s">
        <v>84</v>
      </c>
      <c r="E55" s="62">
        <v>1</v>
      </c>
      <c r="F55" s="67">
        <v>1.0780000000000001</v>
      </c>
      <c r="G55" s="68">
        <v>31.000336410940687</v>
      </c>
      <c r="H55" s="65">
        <v>15.253742637815803</v>
      </c>
    </row>
    <row r="56" spans="1:9" ht="16.05" customHeight="1">
      <c r="A56"/>
      <c r="B56"/>
      <c r="C56" s="62" t="s">
        <v>87</v>
      </c>
      <c r="D56" s="62" t="s">
        <v>84</v>
      </c>
      <c r="E56" s="62">
        <v>1</v>
      </c>
      <c r="F56" s="66">
        <v>6.2E-2</v>
      </c>
      <c r="G56" s="65">
        <v>1.2321278382726819</v>
      </c>
      <c r="H56" s="65">
        <v>0.51749369207452656</v>
      </c>
    </row>
    <row r="57" spans="1:9" ht="16.05" customHeight="1">
      <c r="A57"/>
      <c r="B57"/>
      <c r="C57" s="62" t="s">
        <v>88</v>
      </c>
      <c r="D57" s="62" t="s">
        <v>84</v>
      </c>
      <c r="E57" s="62">
        <v>1</v>
      </c>
      <c r="F57" s="66">
        <v>2.5779999999999998</v>
      </c>
      <c r="G57" s="65">
        <v>62.431917565276812</v>
      </c>
      <c r="H57" s="65">
        <v>26.19503784167722</v>
      </c>
    </row>
    <row r="58" spans="1:9" ht="16.05" customHeight="1">
      <c r="A58"/>
      <c r="B58"/>
      <c r="C58" s="62" t="s">
        <v>89</v>
      </c>
      <c r="D58" s="62" t="s">
        <v>84</v>
      </c>
      <c r="E58" s="62">
        <v>6</v>
      </c>
      <c r="F58" s="66">
        <v>0.245</v>
      </c>
      <c r="G58" s="65">
        <v>39.600588722084005</v>
      </c>
      <c r="H58" s="65">
        <v>24.457737589712742</v>
      </c>
    </row>
    <row r="59" spans="1:9" ht="16.05" customHeight="1">
      <c r="A59"/>
      <c r="B59"/>
      <c r="C59" s="62" t="s">
        <v>90</v>
      </c>
      <c r="D59" s="62" t="s">
        <v>84</v>
      </c>
      <c r="E59" s="62">
        <v>3.5</v>
      </c>
      <c r="F59" s="66">
        <v>0.09</v>
      </c>
      <c r="G59" s="65">
        <v>1.872834314174477</v>
      </c>
      <c r="H59" s="65">
        <v>0.7146341461981558</v>
      </c>
    </row>
    <row r="60" spans="1:9" ht="16.05" customHeight="1">
      <c r="A60"/>
      <c r="B60" s="58"/>
      <c r="C60" s="69" t="s">
        <v>91</v>
      </c>
      <c r="D60" s="69" t="s">
        <v>84</v>
      </c>
      <c r="E60" s="69">
        <v>1</v>
      </c>
      <c r="F60" s="70">
        <v>0.58899999999999997</v>
      </c>
      <c r="G60" s="71">
        <v>14.305004202345842</v>
      </c>
      <c r="H60" s="71">
        <v>6.9245584510924747</v>
      </c>
    </row>
    <row r="61" spans="1:9" ht="16.05" customHeight="1">
      <c r="A61"/>
      <c r="B61"/>
      <c r="C61"/>
      <c r="D61"/>
      <c r="E61" s="61" t="s">
        <v>105</v>
      </c>
      <c r="F61" s="80">
        <f>SUMPRODUCT($E$53:$E$60,F53:F60)</f>
        <v>6.51</v>
      </c>
      <c r="G61" s="81">
        <f>SUMPRODUCT($E$53:$E$60,G53:G60)</f>
        <v>365.41215299652936</v>
      </c>
      <c r="H61" s="81">
        <f>SUMPRODUCT($E$53:$E$60,H53:H60)</f>
        <v>203.89251467736347</v>
      </c>
    </row>
    <row r="62" spans="1:9" ht="16.05" customHeight="1">
      <c r="A62"/>
      <c r="B62"/>
      <c r="C62" s="82" t="s">
        <v>102</v>
      </c>
      <c r="D62"/>
      <c r="E62"/>
      <c r="F62" s="80"/>
      <c r="G62" s="81"/>
      <c r="H62" s="81"/>
    </row>
    <row r="63" spans="1:9" ht="16.05" customHeight="1">
      <c r="A63"/>
      <c r="B63"/>
      <c r="C63" s="82" t="s">
        <v>101</v>
      </c>
      <c r="D63"/>
      <c r="E63"/>
      <c r="F63" s="80"/>
      <c r="G63" s="81"/>
      <c r="H63" s="81"/>
    </row>
    <row r="64" spans="1:9" ht="16.05" customHeight="1">
      <c r="A64"/>
      <c r="B64"/>
      <c r="C64"/>
      <c r="D64"/>
      <c r="E64"/>
      <c r="F64"/>
      <c r="G64"/>
      <c r="H64"/>
    </row>
    <row r="65" spans="1:8" ht="16.05" customHeight="1">
      <c r="A65"/>
      <c r="B65" s="58" t="s">
        <v>118</v>
      </c>
      <c r="C65" s="58"/>
      <c r="D65"/>
      <c r="E65"/>
      <c r="F65"/>
      <c r="G65"/>
      <c r="H65"/>
    </row>
    <row r="66" spans="1:8" ht="16.05" customHeight="1">
      <c r="A66"/>
      <c r="B66"/>
      <c r="C66" t="s">
        <v>80</v>
      </c>
      <c r="D66" s="72" t="s">
        <v>98</v>
      </c>
      <c r="E66" s="73" t="s">
        <v>100</v>
      </c>
      <c r="F66" s="73" t="s">
        <v>99</v>
      </c>
      <c r="G66" s="73" t="s">
        <v>106</v>
      </c>
      <c r="H66" s="73" t="s">
        <v>92</v>
      </c>
    </row>
    <row r="67" spans="1:8" ht="16.05" customHeight="1">
      <c r="A67"/>
      <c r="B67" s="57"/>
      <c r="C67" s="57"/>
      <c r="D67" s="75" t="s">
        <v>93</v>
      </c>
      <c r="E67" s="75" t="s">
        <v>94</v>
      </c>
      <c r="F67" s="75" t="s">
        <v>95</v>
      </c>
      <c r="G67" s="75" t="s">
        <v>9</v>
      </c>
      <c r="H67" s="75" t="s">
        <v>9</v>
      </c>
    </row>
    <row r="68" spans="1:8" ht="16.05" customHeight="1">
      <c r="A68"/>
      <c r="B68" s="76"/>
      <c r="C68" s="77" t="s">
        <v>96</v>
      </c>
      <c r="D68" s="79">
        <v>1000</v>
      </c>
      <c r="E68" s="77">
        <v>10</v>
      </c>
      <c r="F68" s="78">
        <v>0</v>
      </c>
      <c r="G68" s="78">
        <v>0.03</v>
      </c>
      <c r="H68" s="78">
        <v>0.06</v>
      </c>
    </row>
    <row r="69" spans="1:8" ht="16.05" customHeight="1"/>
    <row r="70" spans="1:8"/>
  </sheetData>
  <sheetProtection sheet="1" objects="1" scenarios="1"/>
  <protectedRanges>
    <protectedRange sqref="G36" name="Misc."/>
    <protectedRange sqref="C53:H60" name="Table 1"/>
    <protectedRange sqref="E37" name="interest on operating capital"/>
    <protectedRange sqref="G40" name="land"/>
    <protectedRange sqref="C68:H68" name="Table 2"/>
  </protectedRanges>
  <mergeCells count="6">
    <mergeCell ref="B47:G47"/>
    <mergeCell ref="B1:G1"/>
    <mergeCell ref="B33:C33"/>
    <mergeCell ref="B32:C32"/>
    <mergeCell ref="B45:D45"/>
    <mergeCell ref="B46:D46"/>
  </mergeCells>
  <conditionalFormatting sqref="E2">
    <cfRule type="expression" dxfId="3" priority="2">
      <formula>#REF!="no"</formula>
    </cfRule>
  </conditionalFormatting>
  <conditionalFormatting sqref="E5">
    <cfRule type="expression" dxfId="2" priority="1">
      <formula>#REF!="no"</formula>
    </cfRule>
  </conditionalFormatting>
  <pageMargins left="0.7" right="0.7" top="0.75" bottom="0.75" header="0.3" footer="0.3"/>
  <pageSetup scale="84" orientation="portrait" r:id="rId1"/>
  <ignoredErrors>
    <ignoredError sqref="E27 E35" unlockedFormula="1"/>
    <ignoredError sqref="G32 G34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5F7E-0FF1-4027-B3F0-598DF36CC945}">
  <sheetPr codeName="Sheet3">
    <pageSetUpPr fitToPage="1"/>
  </sheetPr>
  <dimension ref="A1:L36"/>
  <sheetViews>
    <sheetView workbookViewId="0"/>
  </sheetViews>
  <sheetFormatPr defaultColWidth="0" defaultRowHeight="14.4" zeroHeight="1"/>
  <cols>
    <col min="1" max="1" width="3.09765625" customWidth="1"/>
    <col min="2" max="2" width="8.59765625" customWidth="1"/>
    <col min="3" max="3" width="10.09765625" customWidth="1"/>
    <col min="4" max="4" width="10.296875" customWidth="1"/>
    <col min="5" max="5" width="11.796875" customWidth="1"/>
    <col min="6" max="6" width="9.69921875" bestFit="1" customWidth="1"/>
    <col min="7" max="7" width="9.09765625" bestFit="1" customWidth="1"/>
    <col min="8" max="8" width="9.796875" customWidth="1"/>
    <col min="9" max="9" width="11" customWidth="1"/>
    <col min="10" max="10" width="10" bestFit="1" customWidth="1"/>
    <col min="11" max="11" width="10.09765625" customWidth="1"/>
    <col min="12" max="12" width="3.09765625" customWidth="1"/>
    <col min="13" max="16384" width="8.59765625" hidden="1"/>
  </cols>
  <sheetData>
    <row r="1" spans="1:12" ht="15.6">
      <c r="A1" s="8"/>
      <c r="B1" s="135" t="s">
        <v>110</v>
      </c>
      <c r="C1" s="135"/>
      <c r="D1" s="135"/>
      <c r="E1" s="135"/>
      <c r="F1" s="135"/>
      <c r="G1" s="135"/>
      <c r="H1" s="135"/>
      <c r="I1" s="135"/>
      <c r="J1" s="135"/>
      <c r="K1" s="135"/>
      <c r="L1" s="8"/>
    </row>
    <row r="2" spans="1:12" ht="34.049999999999997" customHeight="1">
      <c r="A2" s="8"/>
      <c r="B2" s="143" t="s">
        <v>33</v>
      </c>
      <c r="C2" s="143"/>
      <c r="D2" s="143"/>
      <c r="E2" s="143"/>
      <c r="F2" s="143"/>
      <c r="G2" s="143"/>
      <c r="H2" s="143"/>
      <c r="I2" s="143"/>
      <c r="J2" s="143"/>
      <c r="K2" s="143"/>
      <c r="L2" s="8"/>
    </row>
    <row r="3" spans="1:12" ht="16.5" customHeight="1">
      <c r="A3" s="8"/>
      <c r="B3" s="83"/>
      <c r="C3" s="84"/>
      <c r="D3" s="95"/>
      <c r="E3" s="139" t="s">
        <v>108</v>
      </c>
      <c r="F3" s="139"/>
      <c r="G3" s="139"/>
      <c r="H3" s="139"/>
      <c r="I3" s="139"/>
      <c r="J3" s="139"/>
      <c r="K3" s="140"/>
      <c r="L3" s="8"/>
    </row>
    <row r="4" spans="1:12" ht="16.5" customHeight="1">
      <c r="A4" s="8"/>
      <c r="B4" s="85"/>
      <c r="C4" s="86"/>
      <c r="D4" s="96"/>
      <c r="E4" s="87" t="s">
        <v>29</v>
      </c>
      <c r="F4" s="87" t="s">
        <v>28</v>
      </c>
      <c r="G4" s="87" t="s">
        <v>24</v>
      </c>
      <c r="H4" s="87" t="s">
        <v>22</v>
      </c>
      <c r="I4" s="87" t="s">
        <v>20</v>
      </c>
      <c r="J4" s="87" t="s">
        <v>26</v>
      </c>
      <c r="K4" s="88" t="s">
        <v>27</v>
      </c>
      <c r="L4" s="8"/>
    </row>
    <row r="5" spans="1:12" ht="16.5" customHeight="1">
      <c r="A5" s="8"/>
      <c r="B5" s="97"/>
      <c r="C5" s="98"/>
      <c r="D5" s="26"/>
      <c r="E5" s="27">
        <f>H5*70%</f>
        <v>3360</v>
      </c>
      <c r="F5" s="27">
        <f>H5*80%</f>
        <v>3840</v>
      </c>
      <c r="G5" s="27">
        <f>H5*90%</f>
        <v>4320</v>
      </c>
      <c r="H5" s="45">
        <f>Budget!E3</f>
        <v>4800</v>
      </c>
      <c r="I5" s="27">
        <f>H5*110%</f>
        <v>5280</v>
      </c>
      <c r="J5" s="27">
        <f>H5*120%</f>
        <v>5760</v>
      </c>
      <c r="K5" s="90">
        <f>H5*130%</f>
        <v>6240</v>
      </c>
      <c r="L5" s="8"/>
    </row>
    <row r="6" spans="1:12" ht="16.5" customHeight="1">
      <c r="A6" s="8"/>
      <c r="B6" s="136" t="s">
        <v>109</v>
      </c>
      <c r="C6" s="91" t="s">
        <v>25</v>
      </c>
      <c r="D6" s="46">
        <f>D9*85%</f>
        <v>2.0825</v>
      </c>
      <c r="E6" s="99">
        <f>(D6*$E$5)-Budget!$G$44</f>
        <v>819.70361314749061</v>
      </c>
      <c r="F6" s="100">
        <f>(D6*$F$5)-Budget!$G$44</f>
        <v>1819.303613147491</v>
      </c>
      <c r="G6" s="100">
        <f>(D6*$G$5)-Budget!$G$44</f>
        <v>2818.9036131474904</v>
      </c>
      <c r="H6" s="100">
        <f>(D6*$H$5)-Budget!$G$44</f>
        <v>3818.5036131474908</v>
      </c>
      <c r="I6" s="100">
        <f>(D6*$I$5)-Budget!$G$44</f>
        <v>4818.1036131474912</v>
      </c>
      <c r="J6" s="100">
        <f>(D6*$J$5)-Budget!$G$44</f>
        <v>5817.7036131474915</v>
      </c>
      <c r="K6" s="101">
        <f>(D6*$K$5)-Budget!$G$44</f>
        <v>6817.3036131474901</v>
      </c>
      <c r="L6" s="8"/>
    </row>
    <row r="7" spans="1:12" ht="16.5" customHeight="1">
      <c r="A7" s="8"/>
      <c r="B7" s="136"/>
      <c r="C7" s="91" t="s">
        <v>24</v>
      </c>
      <c r="D7" s="46">
        <f>D9*90%</f>
        <v>2.2050000000000001</v>
      </c>
      <c r="E7" s="102">
        <f>(D7*$E$5)-Budget!$G$44</f>
        <v>1231.303613147491</v>
      </c>
      <c r="F7" s="103">
        <f>(D7*$F$5)-Budget!$G$44</f>
        <v>2289.7036131474915</v>
      </c>
      <c r="G7" s="103">
        <f>(D7*$G$5)-Budget!$G$44</f>
        <v>3348.1036131474912</v>
      </c>
      <c r="H7" s="103">
        <f>(D7*$H$5)-Budget!$G$44</f>
        <v>4406.5036131474908</v>
      </c>
      <c r="I7" s="103">
        <f>(D7*$I$5)-Budget!$G$44</f>
        <v>5464.9036131474904</v>
      </c>
      <c r="J7" s="103">
        <f>(D7*$J$5)-Budget!$G$44</f>
        <v>6523.3036131474919</v>
      </c>
      <c r="K7" s="104">
        <f>(D7*$K$5)-Budget!$G$44</f>
        <v>7581.7036131474915</v>
      </c>
      <c r="L7" s="8"/>
    </row>
    <row r="8" spans="1:12" ht="16.5" customHeight="1" thickBot="1">
      <c r="A8" s="8"/>
      <c r="B8" s="136"/>
      <c r="C8" s="92" t="s">
        <v>23</v>
      </c>
      <c r="D8" s="46">
        <f>D9*0.95</f>
        <v>2.3275000000000001</v>
      </c>
      <c r="E8" s="102">
        <f>(D8*$E$5)-Budget!$G$44</f>
        <v>1642.9036131474913</v>
      </c>
      <c r="F8" s="103">
        <f>(D8*$F$5)-Budget!$G$44</f>
        <v>2760.1036131474912</v>
      </c>
      <c r="G8" s="103">
        <f>(D8*$G$5)-Budget!$G$44</f>
        <v>3877.3036131474919</v>
      </c>
      <c r="H8" s="103">
        <f>(D8*$H$5)-Budget!$G$44</f>
        <v>4994.5036131474908</v>
      </c>
      <c r="I8" s="103">
        <f>(D8*$I$5)-Budget!$G$44</f>
        <v>6111.7036131474915</v>
      </c>
      <c r="J8" s="103">
        <f>(D8*$J$5)-Budget!$G$44</f>
        <v>7228.9036131474923</v>
      </c>
      <c r="K8" s="104">
        <f>(D8*$K$5)-Budget!$G$44</f>
        <v>8346.1036131474903</v>
      </c>
      <c r="L8" s="8"/>
    </row>
    <row r="9" spans="1:12" ht="16.5" customHeight="1" thickBot="1">
      <c r="A9" s="8"/>
      <c r="B9" s="136"/>
      <c r="C9" s="91" t="s">
        <v>22</v>
      </c>
      <c r="D9" s="47">
        <f>Budget!F3</f>
        <v>2.4500000000000002</v>
      </c>
      <c r="E9" s="102">
        <f>(D9*$E$5)-Budget!$G$44</f>
        <v>2054.5036131474908</v>
      </c>
      <c r="F9" s="103">
        <f>(D9*$F$5)-Budget!$G$44</f>
        <v>3230.5036131474908</v>
      </c>
      <c r="G9" s="103">
        <f>(D9*$G$5)-Budget!$G$44</f>
        <v>4406.5036131474908</v>
      </c>
      <c r="H9" s="105">
        <f>(D9*$H$5)-Budget!$G$44</f>
        <v>5582.5036131474908</v>
      </c>
      <c r="I9" s="103">
        <f>(D9*$I$5)-Budget!$G$44</f>
        <v>6758.5036131474926</v>
      </c>
      <c r="J9" s="103">
        <f>(D9*$J$5)-Budget!$G$44</f>
        <v>7934.5036131474926</v>
      </c>
      <c r="K9" s="104">
        <f>(D9*$K$5)-Budget!$G$44</f>
        <v>9110.5036131474917</v>
      </c>
      <c r="L9" s="8"/>
    </row>
    <row r="10" spans="1:12" ht="16.5" customHeight="1">
      <c r="A10" s="8"/>
      <c r="B10" s="136"/>
      <c r="C10" s="91" t="s">
        <v>21</v>
      </c>
      <c r="D10" s="46">
        <f>D9*105%</f>
        <v>2.5725000000000002</v>
      </c>
      <c r="E10" s="102">
        <f>(D10*$E$5)-Budget!$G$44</f>
        <v>2466.1036131474912</v>
      </c>
      <c r="F10" s="103">
        <f>(D10*$F$5)-Budget!$G$44</f>
        <v>3700.9036131474923</v>
      </c>
      <c r="G10" s="103">
        <f>(D10*$G$5)-Budget!$G$44</f>
        <v>4935.7036131474915</v>
      </c>
      <c r="H10" s="103">
        <f>(D10*$H$5)-Budget!$G$44</f>
        <v>6170.5036131474926</v>
      </c>
      <c r="I10" s="103">
        <f>(D10*$I$5)-Budget!$G$44</f>
        <v>7405.3036131474919</v>
      </c>
      <c r="J10" s="103">
        <f>(D10*$J$5)-Budget!$G$44</f>
        <v>8640.1036131474939</v>
      </c>
      <c r="K10" s="104">
        <f>(D10*$K$5)-Budget!$G$44</f>
        <v>9874.9036131474932</v>
      </c>
      <c r="L10" s="8"/>
    </row>
    <row r="11" spans="1:12" ht="16.5" customHeight="1">
      <c r="A11" s="8"/>
      <c r="B11" s="136"/>
      <c r="C11" s="91" t="s">
        <v>20</v>
      </c>
      <c r="D11" s="46">
        <f>D9*110%</f>
        <v>2.6950000000000003</v>
      </c>
      <c r="E11" s="102">
        <f>(D11*$E$5)-Budget!$G$44</f>
        <v>2877.7036131474915</v>
      </c>
      <c r="F11" s="103">
        <f>(D11*$F$5)-Budget!$G$44</f>
        <v>4171.3036131474919</v>
      </c>
      <c r="G11" s="103">
        <f>(D11*$G$5)-Budget!$G$44</f>
        <v>5464.9036131474923</v>
      </c>
      <c r="H11" s="103">
        <f>(D11*$H$5)-Budget!$G$44</f>
        <v>6758.5036131474926</v>
      </c>
      <c r="I11" s="103">
        <f>(D11*$I$5)-Budget!$G$44</f>
        <v>8052.103613147493</v>
      </c>
      <c r="J11" s="103">
        <f>(D11*$J$5)-Budget!$G$44</f>
        <v>9345.7036131474924</v>
      </c>
      <c r="K11" s="104">
        <f>(D11*$K$5)-Budget!$G$44</f>
        <v>10639.303613147495</v>
      </c>
      <c r="L11" s="8"/>
    </row>
    <row r="12" spans="1:12" ht="16.5" customHeight="1">
      <c r="A12" s="8"/>
      <c r="B12" s="137"/>
      <c r="C12" s="93" t="s">
        <v>19</v>
      </c>
      <c r="D12" s="94">
        <f>D9*115%</f>
        <v>2.8174999999999999</v>
      </c>
      <c r="E12" s="106">
        <f>(D12*$E$5)-Budget!$G$44</f>
        <v>3289.3036131474901</v>
      </c>
      <c r="F12" s="107">
        <f>(D12*$F$5)-Budget!$G$44</f>
        <v>4641.7036131474897</v>
      </c>
      <c r="G12" s="107">
        <f>(D12*$G$5)-Budget!$G$44</f>
        <v>5994.1036131474912</v>
      </c>
      <c r="H12" s="107">
        <f>(D12*$H$5)-Budget!$G$44</f>
        <v>7346.5036131474908</v>
      </c>
      <c r="I12" s="107">
        <f>(D12*$I$5)-Budget!$G$44</f>
        <v>8698.9036131474895</v>
      </c>
      <c r="J12" s="107">
        <f>(D12*$J$5)-Budget!$G$44</f>
        <v>10051.303613147491</v>
      </c>
      <c r="K12" s="108">
        <f>(D12*$K$5)-Budget!$G$44</f>
        <v>11403.703613147492</v>
      </c>
      <c r="L12" s="8"/>
    </row>
    <row r="13" spans="1:12" s="8" customFormat="1" ht="16.5" customHeight="1"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2" s="8" customFormat="1" ht="16.5" customHeight="1">
      <c r="B14" s="135" t="s">
        <v>115</v>
      </c>
      <c r="C14" s="135"/>
      <c r="D14" s="135"/>
      <c r="E14" s="135"/>
      <c r="F14" s="135"/>
      <c r="G14" s="135"/>
      <c r="H14" s="135"/>
      <c r="I14" s="135"/>
      <c r="J14" s="135"/>
      <c r="K14" s="135"/>
    </row>
    <row r="15" spans="1:12" s="8" customFormat="1" ht="16.5" customHeight="1">
      <c r="B15" s="143" t="s">
        <v>120</v>
      </c>
      <c r="C15" s="143"/>
      <c r="D15" s="143"/>
      <c r="E15" s="143"/>
      <c r="F15" s="143"/>
      <c r="G15" s="143"/>
      <c r="H15" s="143"/>
      <c r="I15" s="143"/>
      <c r="J15" s="143"/>
      <c r="K15" s="143"/>
    </row>
    <row r="16" spans="1:12" ht="16.5" customHeight="1">
      <c r="A16" s="8"/>
      <c r="B16" s="83"/>
      <c r="C16" s="111"/>
      <c r="D16" s="111"/>
      <c r="E16" s="138" t="s">
        <v>2</v>
      </c>
      <c r="F16" s="139"/>
      <c r="G16" s="139"/>
      <c r="H16" s="139"/>
      <c r="I16" s="139"/>
      <c r="J16" s="139"/>
      <c r="K16" s="140"/>
      <c r="L16" s="8"/>
    </row>
    <row r="17" spans="1:12" ht="16.5" customHeight="1">
      <c r="A17" s="8"/>
      <c r="B17" s="89"/>
      <c r="C17" s="25"/>
      <c r="D17" s="28"/>
      <c r="E17" s="109" t="s">
        <v>25</v>
      </c>
      <c r="F17" s="29" t="s">
        <v>24</v>
      </c>
      <c r="G17" s="29" t="s">
        <v>23</v>
      </c>
      <c r="H17" s="29" t="s">
        <v>22</v>
      </c>
      <c r="I17" s="29" t="s">
        <v>21</v>
      </c>
      <c r="J17" s="29" t="s">
        <v>20</v>
      </c>
      <c r="K17" s="110" t="s">
        <v>19</v>
      </c>
      <c r="L17" s="8"/>
    </row>
    <row r="18" spans="1:12" ht="16.5" customHeight="1">
      <c r="A18" s="8"/>
      <c r="B18" s="141" t="s">
        <v>14</v>
      </c>
      <c r="C18" s="30"/>
      <c r="D18" s="31" t="s">
        <v>25</v>
      </c>
      <c r="E18" s="99">
        <f>(Budget!G4*0.85)-(Budget!G38*0.85)-Budget!G43</f>
        <v>4667.294193973763</v>
      </c>
      <c r="F18" s="100">
        <f>(Budget!G4*0.9)-(Budget!G38*0.85)-Budget!G43</f>
        <v>5255.294193973763</v>
      </c>
      <c r="G18" s="100">
        <f>(Budget!G4*0.95)-(Budget!G38*0.85)-Budget!G43</f>
        <v>5843.294193973763</v>
      </c>
      <c r="H18" s="100">
        <f>Budget!G4-(Budget!G38*0.85)-Budget!G43</f>
        <v>6431.294193973763</v>
      </c>
      <c r="I18" s="100">
        <f>(Budget!G4*1.05)-(Budget!G38*0.85)-Budget!G43</f>
        <v>7019.294193973763</v>
      </c>
      <c r="J18" s="100">
        <f>(Budget!G4*1.1)-(Budget!G38*0.85)-Budget!G43</f>
        <v>7607.2941939737648</v>
      </c>
      <c r="K18" s="101">
        <f>(Budget!G4*1.15)-(Budget!G38*0.85)-Budget!G43</f>
        <v>8195.2941939737611</v>
      </c>
      <c r="L18" s="8"/>
    </row>
    <row r="19" spans="1:12" ht="16.5" customHeight="1">
      <c r="A19" s="8"/>
      <c r="B19" s="141"/>
      <c r="C19" s="30"/>
      <c r="D19" s="31" t="s">
        <v>24</v>
      </c>
      <c r="E19" s="102">
        <f>(Budget!G4*0.85)-(Budget!G38*0.9)-Budget!G43</f>
        <v>4384.3640003650053</v>
      </c>
      <c r="F19" s="103">
        <f>(Budget!G4*0.9)-(Budget!G38*0.9)-Budget!G43</f>
        <v>4972.3640003650053</v>
      </c>
      <c r="G19" s="103">
        <f>(Budget!G4*0.95)-(Budget!G38*0.9)-Budget!G43</f>
        <v>5560.3640003650053</v>
      </c>
      <c r="H19" s="103">
        <f>Budget!G4-(Budget!G38*0.9)-Budget!G43</f>
        <v>6148.3640003650053</v>
      </c>
      <c r="I19" s="103">
        <f>(Budget!G4*1.05)-(Budget!G38*0.9)-Budget!G43</f>
        <v>6736.3640003650053</v>
      </c>
      <c r="J19" s="103">
        <f>(Budget!G4*1.1)-(Budget!G38*0.9)-Budget!G43</f>
        <v>7324.3640003650071</v>
      </c>
      <c r="K19" s="104">
        <f>(Budget!G4*1.15)-(Budget!G38*0.9)-Budget!G43</f>
        <v>7912.3640003650034</v>
      </c>
      <c r="L19" s="8"/>
    </row>
    <row r="20" spans="1:12" ht="16.5" customHeight="1" thickBot="1">
      <c r="A20" s="8"/>
      <c r="B20" s="141"/>
      <c r="C20" s="30"/>
      <c r="D20" s="31" t="s">
        <v>23</v>
      </c>
      <c r="E20" s="102">
        <f>(Budget!G4*0.85)-(Budget!G38*0.95)-Budget!G43</f>
        <v>4101.4338067562485</v>
      </c>
      <c r="F20" s="103">
        <f>(Budget!G4*0.9)-(Budget!G38*0.95)-Budget!G43</f>
        <v>4689.4338067562485</v>
      </c>
      <c r="G20" s="103">
        <f>(Budget!G4*0.95)-(Budget!G38*0.95)-Budget!G43</f>
        <v>5277.4338067562485</v>
      </c>
      <c r="H20" s="103">
        <f>Budget!G4-(Budget!G38*0.95)-Budget!G43</f>
        <v>5865.4338067562485</v>
      </c>
      <c r="I20" s="103">
        <f>(Budget!G4*1.05)-(Budget!G38*0.95)-Budget!G43</f>
        <v>6453.4338067562485</v>
      </c>
      <c r="J20" s="103">
        <f>(Budget!G4*1.1)-(Budget!G38*0.95)-Budget!G43</f>
        <v>7041.4338067562503</v>
      </c>
      <c r="K20" s="104">
        <f>(Budget!G4*1.15)-(Budget!G38*0.95)-Budget!G43</f>
        <v>7629.4338067562467</v>
      </c>
      <c r="L20" s="8"/>
    </row>
    <row r="21" spans="1:12" ht="16.5" customHeight="1" thickBot="1">
      <c r="A21" s="8"/>
      <c r="B21" s="141"/>
      <c r="C21" s="30"/>
      <c r="D21" s="31" t="s">
        <v>22</v>
      </c>
      <c r="E21" s="102">
        <f>(Budget!G4*0.85)-Budget!G38-Budget!GG43</f>
        <v>4337.3961278248544</v>
      </c>
      <c r="F21" s="103">
        <f>(Budget!G4*0.9)-(Budget!G38)-Budget!G43</f>
        <v>4406.5036131474908</v>
      </c>
      <c r="G21" s="103">
        <f>(Budget!G4*0.95)-(Budget!G38)-Budget!G43</f>
        <v>4994.5036131474908</v>
      </c>
      <c r="H21" s="105">
        <f>Budget!G4-(Budget!G38)-Budget!G43</f>
        <v>5582.5036131474908</v>
      </c>
      <c r="I21" s="103">
        <f>(Budget!G4*1.05)-(Budget!G38)-Budget!G43</f>
        <v>6170.5036131474908</v>
      </c>
      <c r="J21" s="103">
        <f>(Budget!G4*1.1)-(Budget!G38)-Budget!G43</f>
        <v>6758.5036131474926</v>
      </c>
      <c r="K21" s="104">
        <f>(Budget!G4*1.15)-(Budget!G38)-Budget!G43</f>
        <v>7346.503613147489</v>
      </c>
      <c r="L21" s="8"/>
    </row>
    <row r="22" spans="1:12" ht="16.5" customHeight="1">
      <c r="A22" s="8"/>
      <c r="B22" s="141"/>
      <c r="C22" s="30"/>
      <c r="D22" s="31" t="s">
        <v>21</v>
      </c>
      <c r="E22" s="102">
        <f>(Budget!G4*0.85)-(Budget!G38*1.05)-Budget!G43</f>
        <v>3535.5734195387331</v>
      </c>
      <c r="F22" s="103">
        <f>(Budget!G4*0.9)-(Budget!G38*1.05)-Budget!G43</f>
        <v>4123.5734195387331</v>
      </c>
      <c r="G22" s="103">
        <f>(Budget!G4*0.95)-(Budget!G38*1.05)-Budget!G43</f>
        <v>4711.5734195387331</v>
      </c>
      <c r="H22" s="103">
        <f>Budget!G4-(Budget!G38*1.05)-Budget!G43</f>
        <v>5299.5734195387331</v>
      </c>
      <c r="I22" s="103">
        <f>(Budget!G4*1.05)-(Budget!G38*1.05)-Budget!G43</f>
        <v>5887.5734195387331</v>
      </c>
      <c r="J22" s="103">
        <f>(Budget!G4*1.1)-(Budget!G38*1.05)-Budget!G43</f>
        <v>6475.5734195387349</v>
      </c>
      <c r="K22" s="104">
        <f>(Budget!G4*1.15)-(Budget!G38*1.05)-Budget!G43</f>
        <v>7063.5734195387313</v>
      </c>
      <c r="L22" s="8"/>
    </row>
    <row r="23" spans="1:12" ht="16.5" customHeight="1">
      <c r="A23" s="8"/>
      <c r="B23" s="141"/>
      <c r="C23" s="30"/>
      <c r="D23" s="31" t="s">
        <v>20</v>
      </c>
      <c r="E23" s="102">
        <f>(Budget!G4*0.85)-(Budget!G38*1.1)-Budget!G43</f>
        <v>3252.6432259299754</v>
      </c>
      <c r="F23" s="103">
        <f>(Budget!G4*0.9)-(Budget!G38*1.1)-Budget!G43</f>
        <v>3840.6432259299754</v>
      </c>
      <c r="G23" s="103">
        <f>(Budget!G4*0.95)-(Budget!G38*1.1)-Budget!G43</f>
        <v>4428.6432259299754</v>
      </c>
      <c r="H23" s="103">
        <f>Budget!G4-(Budget!G38*1.1)-Budget!G43</f>
        <v>5016.6432259299754</v>
      </c>
      <c r="I23" s="103">
        <f>(Budget!G4*1.05)-(Budget!G38*1.1)-Budget!G43</f>
        <v>5604.6432259299754</v>
      </c>
      <c r="J23" s="103">
        <f>(Budget!G4*1.1)-(Budget!G38*1.1)-Budget!G43</f>
        <v>6192.6432259299772</v>
      </c>
      <c r="K23" s="104">
        <f>(Budget!G4*1.15)-(Budget!G38*1.1)-Budget!G43</f>
        <v>6780.6432259299736</v>
      </c>
      <c r="L23" s="8"/>
    </row>
    <row r="24" spans="1:12" ht="16.5" customHeight="1">
      <c r="A24" s="8"/>
      <c r="B24" s="142"/>
      <c r="C24" s="112"/>
      <c r="D24" s="113" t="s">
        <v>19</v>
      </c>
      <c r="E24" s="106">
        <f>(Budget!G4*0.85)-(Budget!G38*1.15)-Budget!G43</f>
        <v>2969.7130323212195</v>
      </c>
      <c r="F24" s="107">
        <f>(Budget!G4*0.9)-(Budget!G38*1.15)-Budget!G43</f>
        <v>3557.7130323212195</v>
      </c>
      <c r="G24" s="107">
        <f>(Budget!G4*0.95)-(Budget!G38*1.15)-Budget!G43</f>
        <v>4145.7130323212195</v>
      </c>
      <c r="H24" s="107">
        <f>Budget!G4-(Budget!G38*1.15)-Budget!G43</f>
        <v>4733.7130323212195</v>
      </c>
      <c r="I24" s="107">
        <f>(Budget!G4*1.05)-(Budget!G38*1.15)-Budget!G43</f>
        <v>5321.7130323212195</v>
      </c>
      <c r="J24" s="107">
        <f>(Budget!G4*1.1)-(Budget!G38*1.15)-Budget!G43</f>
        <v>5909.7130323212214</v>
      </c>
      <c r="K24" s="108">
        <f>(Budget!G4*1.15)-(Budget!G38*1.15)-Budget!G43</f>
        <v>6497.7130323212177</v>
      </c>
      <c r="L24" s="8"/>
    </row>
    <row r="25" spans="1:12" ht="9" hidden="1" customHeight="1">
      <c r="A25" s="8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2" ht="14.55" hidden="1" customHeight="1">
      <c r="B26" s="8"/>
      <c r="C26" s="8"/>
      <c r="D26" s="8"/>
      <c r="E26" s="8"/>
      <c r="F26" s="8"/>
      <c r="G26" s="8"/>
      <c r="H26" s="8"/>
      <c r="I26" s="8"/>
      <c r="J26" s="8"/>
      <c r="K26" s="8"/>
    </row>
    <row r="28" spans="1:12" ht="32.1" hidden="1" customHeight="1"/>
    <row r="29" spans="1:12" ht="15.6" hidden="1">
      <c r="B29" s="132"/>
      <c r="C29" s="132"/>
      <c r="D29" s="132"/>
      <c r="E29" s="132"/>
      <c r="F29" s="132"/>
      <c r="G29" s="132"/>
      <c r="H29" s="132"/>
      <c r="I29" s="132"/>
      <c r="J29" s="132"/>
      <c r="K29" s="132"/>
    </row>
    <row r="30" spans="1:12" ht="15.6" hidden="1">
      <c r="B30" s="132"/>
      <c r="C30" s="132"/>
      <c r="D30" s="132"/>
      <c r="E30" s="132"/>
      <c r="F30" s="132"/>
      <c r="G30" s="132"/>
      <c r="H30" s="132"/>
      <c r="I30" s="132"/>
      <c r="J30" s="132"/>
      <c r="K30" s="132"/>
    </row>
    <row r="31" spans="1:12" ht="15.6" hidden="1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2" ht="15.6" hidden="1">
      <c r="G32" s="11"/>
      <c r="H32" s="11"/>
      <c r="I32" s="11"/>
      <c r="J32" s="11"/>
      <c r="K32" s="11"/>
    </row>
    <row r="33" spans="7:11" ht="15.6" hidden="1">
      <c r="G33" s="11"/>
      <c r="H33" s="11"/>
      <c r="I33" s="11"/>
      <c r="J33" s="11"/>
      <c r="K33" s="11"/>
    </row>
    <row r="34" spans="7:11" ht="15.6" hidden="1">
      <c r="G34" s="11"/>
      <c r="H34" s="11"/>
      <c r="I34" s="11"/>
      <c r="J34" s="11"/>
      <c r="K34" s="11"/>
    </row>
    <row r="35" spans="7:11" ht="15.6" hidden="1">
      <c r="G35" s="11"/>
      <c r="H35" s="11"/>
      <c r="I35" s="11"/>
      <c r="J35" s="11"/>
      <c r="K35" s="11"/>
    </row>
    <row r="36" spans="7:11" ht="15.6" hidden="1">
      <c r="G36" s="11"/>
      <c r="H36" s="11"/>
      <c r="I36" s="11"/>
      <c r="J36" s="11"/>
      <c r="K36" s="11"/>
    </row>
  </sheetData>
  <sheetProtection sheet="1" objects="1" scenarios="1"/>
  <mergeCells count="10">
    <mergeCell ref="B1:K1"/>
    <mergeCell ref="B14:K14"/>
    <mergeCell ref="B29:K29"/>
    <mergeCell ref="B30:K30"/>
    <mergeCell ref="B6:B12"/>
    <mergeCell ref="E16:K16"/>
    <mergeCell ref="B18:B24"/>
    <mergeCell ref="B2:K2"/>
    <mergeCell ref="B15:K15"/>
    <mergeCell ref="E3:K3"/>
  </mergeCells>
  <conditionalFormatting sqref="E6:K12">
    <cfRule type="cellIs" dxfId="1" priority="2" operator="lessThan">
      <formula>0</formula>
    </cfRule>
  </conditionalFormatting>
  <conditionalFormatting sqref="E18:K24">
    <cfRule type="cellIs" dxfId="0" priority="1" operator="lessThan">
      <formula>0</formula>
    </cfRule>
  </conditionalFormatting>
  <pageMargins left="0.7" right="0.7" top="0.75" bottom="0.75" header="0.3" footer="0.3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72BA2EC307A4F840456AFB3F4BF30" ma:contentTypeVersion="15" ma:contentTypeDescription="Create a new document." ma:contentTypeScope="" ma:versionID="e7135de11d12d073d7a6ede4b04666d3">
  <xsd:schema xmlns:xsd="http://www.w3.org/2001/XMLSchema" xmlns:xs="http://www.w3.org/2001/XMLSchema" xmlns:p="http://schemas.microsoft.com/office/2006/metadata/properties" xmlns:ns2="afeaba0f-363c-487a-9eab-504fb0ae0068" xmlns:ns3="3cf54786-5cbe-4eed-9d82-be7bae57988e" targetNamespace="http://schemas.microsoft.com/office/2006/metadata/properties" ma:root="true" ma:fieldsID="153500833204045ca796943900e2c449" ns2:_="" ns3:_="">
    <xsd:import namespace="afeaba0f-363c-487a-9eab-504fb0ae0068"/>
    <xsd:import namespace="3cf54786-5cbe-4eed-9d82-be7bae5798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aba0f-363c-487a-9eab-504fb0ae00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54786-5cbe-4eed-9d82-be7bae57988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560828-92f4-433d-b2dd-f0bd0e5db71c}" ma:internalName="TaxCatchAll" ma:showField="CatchAllData" ma:web="3cf54786-5cbe-4eed-9d82-be7bae5798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aba0f-363c-487a-9eab-504fb0ae0068">
      <Terms xmlns="http://schemas.microsoft.com/office/infopath/2007/PartnerControls"/>
    </lcf76f155ced4ddcb4097134ff3c332f>
    <TaxCatchAll xmlns="3cf54786-5cbe-4eed-9d82-be7bae57988e" xsi:nil="true"/>
  </documentManagement>
</p:properties>
</file>

<file path=customXml/itemProps1.xml><?xml version="1.0" encoding="utf-8"?>
<ds:datastoreItem xmlns:ds="http://schemas.openxmlformats.org/officeDocument/2006/customXml" ds:itemID="{40C5FB2E-A975-4361-AC71-F1F257ACC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eaba0f-363c-487a-9eab-504fb0ae0068"/>
    <ds:schemaRef ds:uri="3cf54786-5cbe-4eed-9d82-be7bae5798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3F0A06-9F9F-49EF-8C3D-05FBF50BA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28324-32A9-4154-8247-D3B1E0DB2445}">
  <ds:schemaRefs>
    <ds:schemaRef ds:uri="http://schemas.microsoft.com/office/2006/metadata/properties"/>
    <ds:schemaRef ds:uri="http://schemas.microsoft.com/office/infopath/2007/PartnerControls"/>
    <ds:schemaRef ds:uri="afeaba0f-363c-487a-9eab-504fb0ae0068"/>
    <ds:schemaRef ds:uri="3cf54786-5cbe-4eed-9d82-be7bae5798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Introduction</vt:lpstr>
      <vt:lpstr>Budget</vt:lpstr>
      <vt:lpstr>Financial Sensitivity</vt:lpstr>
      <vt:lpstr>Budget!Print_Area</vt:lpstr>
      <vt:lpstr>'Financial Sensitivity'!Print_Area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Kruse</dc:creator>
  <cp:keywords/>
  <dc:description/>
  <cp:lastModifiedBy>Jackson, Lauren</cp:lastModifiedBy>
  <cp:revision/>
  <cp:lastPrinted>2025-08-08T12:53:59Z</cp:lastPrinted>
  <dcterms:created xsi:type="dcterms:W3CDTF">2020-07-30T17:48:44Z</dcterms:created>
  <dcterms:modified xsi:type="dcterms:W3CDTF">2025-11-05T17:49:27Z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0x010100CE272BA2EC307A4F840456AFB3F4BF30</vt:lpwstr>
  </property>
  <property fmtid="{D5CDD505-2E9C-101B-9397-08002B2CF9AE}" pid="3" name="MediaServiceImageTags">
    <vt:lpwstr/>
  </property>
</Properties>
</file>