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ailmissouri-my.sharepoint.com/personal/jacksonla_umsystem_edu/Documents/Desktop/Desktop 3-28/Website/FruitsandVeggies Project/New spreadsheets Sept 2025/"/>
    </mc:Choice>
  </mc:AlternateContent>
  <xr:revisionPtr revIDLastSave="2026" documentId="8_{17EA8F40-1BFD-4775-B660-129718E3041E}" xr6:coauthVersionLast="47" xr6:coauthVersionMax="47" xr10:uidLastSave="{419E7481-5FAF-4388-B45C-BAA3871A269E}"/>
  <workbookProtection lockStructure="1"/>
  <bookViews>
    <workbookView xWindow="5064" yWindow="840" windowWidth="17328" windowHeight="10296"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Budget!$B$2:$R$74</definedName>
    <definedName name="_xlnm.Print_Area" localSheetId="2">'Financial Sensitivity'!$B$1:$K$38</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 l="1"/>
  <c r="D9" i="4"/>
  <c r="H5" i="4"/>
  <c r="Q40" i="1"/>
  <c r="N40" i="1"/>
  <c r="K40" i="1"/>
  <c r="H40" i="1"/>
  <c r="Q56" i="1" l="1"/>
  <c r="N56" i="1"/>
  <c r="K56" i="1"/>
  <c r="H56" i="1"/>
  <c r="Q55" i="1"/>
  <c r="N55" i="1"/>
  <c r="K55" i="1"/>
  <c r="H55" i="1"/>
  <c r="Q30" i="1"/>
  <c r="Q29" i="1"/>
  <c r="Q28" i="1"/>
  <c r="N30" i="1"/>
  <c r="N29" i="1"/>
  <c r="N28" i="1"/>
  <c r="K30" i="1"/>
  <c r="K29" i="1"/>
  <c r="K28" i="1"/>
  <c r="H30" i="1"/>
  <c r="H29" i="1"/>
  <c r="H28" i="1"/>
  <c r="H34" i="1"/>
  <c r="H35" i="1"/>
  <c r="H36" i="1"/>
  <c r="K34" i="1"/>
  <c r="K35" i="1"/>
  <c r="K36" i="1"/>
  <c r="N34" i="1"/>
  <c r="N35" i="1"/>
  <c r="N36" i="1"/>
  <c r="Q34" i="1"/>
  <c r="Q35" i="1"/>
  <c r="Q36" i="1"/>
  <c r="Q14" i="1"/>
  <c r="N14" i="1"/>
  <c r="K14" i="1"/>
  <c r="H14" i="1"/>
  <c r="Q52" i="1" l="1"/>
  <c r="Q53" i="1"/>
  <c r="Q54" i="1"/>
  <c r="Q57" i="1"/>
  <c r="Q58" i="1"/>
  <c r="Q59" i="1"/>
  <c r="Q60" i="1"/>
  <c r="Q61" i="1"/>
  <c r="Q62" i="1"/>
  <c r="Q63" i="1"/>
  <c r="Q64" i="1"/>
  <c r="N52" i="1"/>
  <c r="N53" i="1"/>
  <c r="N54" i="1"/>
  <c r="N57" i="1"/>
  <c r="N58" i="1"/>
  <c r="N59" i="1"/>
  <c r="N60" i="1"/>
  <c r="N61" i="1"/>
  <c r="N62" i="1"/>
  <c r="N63" i="1"/>
  <c r="N64" i="1"/>
  <c r="K52" i="1"/>
  <c r="K53" i="1"/>
  <c r="K54" i="1"/>
  <c r="K57" i="1"/>
  <c r="K58" i="1"/>
  <c r="K59" i="1"/>
  <c r="K60" i="1"/>
  <c r="K61" i="1"/>
  <c r="K62" i="1"/>
  <c r="K63" i="1"/>
  <c r="K64" i="1"/>
  <c r="H52" i="1"/>
  <c r="H53" i="1"/>
  <c r="H54" i="1"/>
  <c r="H57" i="1"/>
  <c r="H58" i="1"/>
  <c r="H59" i="1"/>
  <c r="H60" i="1"/>
  <c r="H61" i="1"/>
  <c r="H62" i="1"/>
  <c r="H63" i="1"/>
  <c r="H64" i="1"/>
  <c r="Q50" i="1"/>
  <c r="N50" i="1"/>
  <c r="K50" i="1"/>
  <c r="H50" i="1"/>
  <c r="Q47" i="1"/>
  <c r="Q48" i="1"/>
  <c r="N47" i="1"/>
  <c r="N48" i="1"/>
  <c r="K47" i="1"/>
  <c r="K48" i="1"/>
  <c r="H47" i="1"/>
  <c r="H48" i="1"/>
  <c r="Q44" i="1"/>
  <c r="Q45" i="1"/>
  <c r="N44" i="1"/>
  <c r="N45" i="1"/>
  <c r="K44" i="1"/>
  <c r="K45" i="1"/>
  <c r="H44" i="1"/>
  <c r="H45" i="1"/>
  <c r="H41" i="1"/>
  <c r="K41" i="1"/>
  <c r="K39" i="1"/>
  <c r="N41" i="1"/>
  <c r="N39" i="1"/>
  <c r="Q41" i="1"/>
  <c r="Q39" i="1"/>
  <c r="Q32" i="1"/>
  <c r="Q33" i="1"/>
  <c r="Q37" i="1"/>
  <c r="N32" i="1"/>
  <c r="N33" i="1"/>
  <c r="N37" i="1"/>
  <c r="K32" i="1"/>
  <c r="K33" i="1"/>
  <c r="K37" i="1"/>
  <c r="Q21" i="1"/>
  <c r="Q22" i="1"/>
  <c r="Q23" i="1"/>
  <c r="Q24" i="1"/>
  <c r="Q26" i="1"/>
  <c r="Q27" i="1"/>
  <c r="N21" i="1"/>
  <c r="N22" i="1"/>
  <c r="N23" i="1"/>
  <c r="N24" i="1"/>
  <c r="N26" i="1"/>
  <c r="N27" i="1"/>
  <c r="K21" i="1"/>
  <c r="K22" i="1"/>
  <c r="K23" i="1"/>
  <c r="K24" i="1"/>
  <c r="K26" i="1"/>
  <c r="K27" i="1"/>
  <c r="H21" i="1"/>
  <c r="H22" i="1"/>
  <c r="H23" i="1"/>
  <c r="H24" i="1"/>
  <c r="H26" i="1"/>
  <c r="H27" i="1"/>
  <c r="H32" i="1"/>
  <c r="H33" i="1"/>
  <c r="H37" i="1"/>
  <c r="Q16" i="1"/>
  <c r="Q17" i="1"/>
  <c r="Q18" i="1"/>
  <c r="Q19" i="1"/>
  <c r="N16" i="1"/>
  <c r="N17" i="1"/>
  <c r="N18" i="1"/>
  <c r="N19" i="1"/>
  <c r="K16" i="1"/>
  <c r="K17" i="1"/>
  <c r="K19" i="1"/>
  <c r="H16" i="1"/>
  <c r="H17" i="1"/>
  <c r="H18" i="1"/>
  <c r="H19" i="1"/>
  <c r="Q13" i="1"/>
  <c r="N13" i="1"/>
  <c r="K13" i="1"/>
  <c r="H13" i="1"/>
  <c r="Q10" i="1"/>
  <c r="Q11" i="1"/>
  <c r="Q12" i="1"/>
  <c r="Q9" i="1"/>
  <c r="N10" i="1"/>
  <c r="N11" i="1"/>
  <c r="K10" i="1"/>
  <c r="K11" i="1"/>
  <c r="H10" i="1"/>
  <c r="H11" i="1"/>
  <c r="N12" i="1" l="1"/>
  <c r="K12" i="1"/>
  <c r="H12" i="1"/>
  <c r="H9" i="1"/>
  <c r="H39" i="1"/>
  <c r="Q69" i="1"/>
  <c r="N69" i="1"/>
  <c r="K69" i="1"/>
  <c r="H69" i="1"/>
  <c r="Q68" i="1"/>
  <c r="N68" i="1"/>
  <c r="K68" i="1"/>
  <c r="H68" i="1"/>
  <c r="H8" i="1"/>
  <c r="I5" i="4" l="1"/>
  <c r="J5" i="4" l="1"/>
  <c r="K5" i="4"/>
  <c r="G5" i="4"/>
  <c r="F5" i="4"/>
  <c r="E5" i="4"/>
  <c r="D8" i="4"/>
  <c r="D10" i="4"/>
  <c r="D11" i="4"/>
  <c r="D7" i="4"/>
  <c r="D12" i="4"/>
  <c r="D6" i="4"/>
  <c r="Q70" i="1" l="1"/>
  <c r="N70" i="1"/>
  <c r="K70" i="1"/>
  <c r="H70" i="1"/>
  <c r="Q43" i="1" l="1"/>
  <c r="N43" i="1"/>
  <c r="K43" i="1"/>
  <c r="H43" i="1"/>
  <c r="Q38" i="1"/>
  <c r="N38" i="1"/>
  <c r="K38" i="1"/>
  <c r="H38" i="1"/>
  <c r="N9" i="1"/>
  <c r="K9" i="1"/>
  <c r="Q8" i="1"/>
  <c r="N8" i="1"/>
  <c r="K8" i="1"/>
  <c r="Q5" i="1"/>
  <c r="N5" i="1"/>
  <c r="K5" i="1"/>
  <c r="H5" i="1"/>
  <c r="Q6" i="1" l="1"/>
  <c r="N6" i="1"/>
  <c r="K6" i="1"/>
  <c r="H6" i="1"/>
  <c r="J49" i="1" l="1"/>
  <c r="K49" i="1" s="1"/>
  <c r="K65" i="1" s="1"/>
  <c r="P49" i="1"/>
  <c r="Q49" i="1" s="1"/>
  <c r="Q65" i="1" s="1"/>
  <c r="M49" i="1"/>
  <c r="N49" i="1" s="1"/>
  <c r="N65" i="1" s="1"/>
  <c r="G49" i="1"/>
  <c r="H49" i="1" s="1"/>
  <c r="H65" i="1" s="1"/>
  <c r="H66" i="1" l="1"/>
  <c r="H71" i="1" s="1"/>
  <c r="N66" i="1"/>
  <c r="N71" i="1" s="1"/>
  <c r="N73" i="1" s="1"/>
  <c r="Q66" i="1" l="1"/>
  <c r="K66" i="1"/>
  <c r="K71" i="1" s="1"/>
  <c r="K73" i="1" s="1"/>
  <c r="H73" i="1"/>
  <c r="H72" i="1"/>
  <c r="N72" i="1"/>
  <c r="I21" i="4" l="1"/>
  <c r="H19" i="4"/>
  <c r="I20" i="4"/>
  <c r="K18" i="4"/>
  <c r="I19" i="4"/>
  <c r="J18" i="4"/>
  <c r="F24" i="4"/>
  <c r="J20" i="4"/>
  <c r="J19" i="4"/>
  <c r="K19" i="4"/>
  <c r="K20" i="4"/>
  <c r="K22" i="4"/>
  <c r="K23" i="4"/>
  <c r="K24" i="4"/>
  <c r="G20" i="4"/>
  <c r="E20" i="4"/>
  <c r="I24" i="4"/>
  <c r="H22" i="4"/>
  <c r="H21" i="4"/>
  <c r="G24" i="4"/>
  <c r="J24" i="4"/>
  <c r="I18" i="4"/>
  <c r="G23" i="4"/>
  <c r="J23" i="4"/>
  <c r="H18" i="4"/>
  <c r="G22" i="4"/>
  <c r="J22" i="4"/>
  <c r="G18" i="4"/>
  <c r="J21" i="4"/>
  <c r="F18" i="4"/>
  <c r="F23" i="4"/>
  <c r="E18" i="4"/>
  <c r="F22" i="4"/>
  <c r="G21" i="4"/>
  <c r="F21" i="4"/>
  <c r="F20" i="4"/>
  <c r="F19" i="4"/>
  <c r="E24" i="4"/>
  <c r="E23" i="4"/>
  <c r="E22" i="4"/>
  <c r="E21" i="4"/>
  <c r="G19" i="4"/>
  <c r="H20" i="4"/>
  <c r="E19" i="4"/>
  <c r="H24" i="4"/>
  <c r="H23" i="4"/>
  <c r="I23" i="4"/>
  <c r="I22" i="4"/>
  <c r="K21" i="4"/>
  <c r="Q71" i="1"/>
  <c r="Q72" i="1"/>
  <c r="K72" i="1"/>
  <c r="Q73" i="1" l="1"/>
  <c r="E36" i="4" s="1"/>
  <c r="H9" i="4"/>
  <c r="I9" i="4"/>
  <c r="E9" i="4"/>
  <c r="G10" i="4"/>
  <c r="G8" i="4"/>
  <c r="F9" i="4"/>
  <c r="F10" i="4"/>
  <c r="F8" i="4"/>
  <c r="G9" i="4"/>
  <c r="E10" i="4"/>
  <c r="E8" i="4"/>
  <c r="K10" i="4"/>
  <c r="J9" i="4"/>
  <c r="K6" i="4"/>
  <c r="K12" i="4"/>
  <c r="J6" i="4"/>
  <c r="I12" i="4"/>
  <c r="H12" i="4"/>
  <c r="H6" i="4"/>
  <c r="G12" i="4"/>
  <c r="G6" i="4"/>
  <c r="F12" i="4"/>
  <c r="E12" i="4"/>
  <c r="E6" i="4"/>
  <c r="H7" i="4"/>
  <c r="J11" i="4"/>
  <c r="I11" i="4"/>
  <c r="F7" i="4"/>
  <c r="H11" i="4"/>
  <c r="F11" i="4"/>
  <c r="I7" i="4"/>
  <c r="K7" i="4"/>
  <c r="G11" i="4"/>
  <c r="K8" i="4"/>
  <c r="J8" i="4"/>
  <c r="I8" i="4"/>
  <c r="H10" i="4"/>
  <c r="I6" i="4"/>
  <c r="J12" i="4"/>
  <c r="K9" i="4"/>
  <c r="F6" i="4"/>
  <c r="K11" i="4"/>
  <c r="G7" i="4"/>
  <c r="E7" i="4"/>
  <c r="E11" i="4"/>
  <c r="J7" i="4"/>
  <c r="J10" i="4"/>
  <c r="I10" i="4"/>
  <c r="H8" i="4"/>
  <c r="E38" i="4" l="1"/>
  <c r="E37" i="4"/>
</calcChain>
</file>

<file path=xl/sharedStrings.xml><?xml version="1.0" encoding="utf-8"?>
<sst xmlns="http://schemas.openxmlformats.org/spreadsheetml/2006/main" count="216" uniqueCount="132">
  <si>
    <t>Updated: 1/2025</t>
  </si>
  <si>
    <t>This worksheet is for educational purposes only and the user assumes all risks associated with its use.</t>
  </si>
  <si>
    <t>Revenue</t>
  </si>
  <si>
    <t>Unit</t>
  </si>
  <si>
    <t>Price
per unit</t>
  </si>
  <si>
    <t xml:space="preserve"> Quantity</t>
  </si>
  <si>
    <t>Dollars 
per acre</t>
  </si>
  <si>
    <t>Dollars
per acre</t>
  </si>
  <si>
    <t>each</t>
  </si>
  <si>
    <t>soil test</t>
  </si>
  <si>
    <t>acre</t>
  </si>
  <si>
    <t>pound</t>
  </si>
  <si>
    <t>feet</t>
  </si>
  <si>
    <t>percent</t>
  </si>
  <si>
    <t>Total costs</t>
  </si>
  <si>
    <t>Return over total costs</t>
  </si>
  <si>
    <t>Net present value of net returns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</si>
  <si>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</si>
  <si>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</si>
  <si>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</si>
  <si>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</si>
  <si>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</si>
  <si>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</si>
  <si>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</si>
  <si>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</si>
  <si>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</si>
  <si>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</si>
  <si>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</si>
  <si>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</si>
  <si>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</si>
  <si>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</si>
  <si>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</si>
  <si>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</si>
  <si>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</si>
  <si>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</si>
  <si>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Required rate of return</t>
  </si>
  <si>
    <t xml:space="preserve">  NPV years 1-10</t>
  </si>
  <si>
    <t xml:space="preserve">  NPV years 1-15</t>
  </si>
  <si>
    <t xml:space="preserve">Will this business be profitable? Explore profitability with net present values and average returns per year. </t>
  </si>
  <si>
    <t>Develop a customized budget by adjusting the assumptions in gray cells to match the management practices and expected yields and prices for your farm.</t>
  </si>
  <si>
    <t xml:space="preserve">Explore estimated annual per acre returns over total costs under varying revenue and cost scenarios in full production. </t>
  </si>
  <si>
    <t>% of sales</t>
  </si>
  <si>
    <t xml:space="preserve">Budget created by Peter Zimmel, Food and Agricultural Policy Institute (FAPRI). Prices were updated January 2025. Access online at muext.us/MissouriAgBudgets. </t>
  </si>
  <si>
    <t>month</t>
  </si>
  <si>
    <t>bushel</t>
  </si>
  <si>
    <t>hour</t>
  </si>
  <si>
    <t>Year 1  
site preparation</t>
  </si>
  <si>
    <t>Year 2 
planting year</t>
  </si>
  <si>
    <t>Year 3 
year after planting</t>
  </si>
  <si>
    <t>Year 4-15
 full production</t>
  </si>
  <si>
    <t>gallon</t>
  </si>
  <si>
    <t>ounce</t>
  </si>
  <si>
    <t>Labor</t>
  </si>
  <si>
    <t>Packaging</t>
  </si>
  <si>
    <t>Phosphate</t>
  </si>
  <si>
    <t>Potash</t>
  </si>
  <si>
    <t>Captan 80W</t>
  </si>
  <si>
    <t>Lime sulfur</t>
  </si>
  <si>
    <t>Pristine 38WDG</t>
  </si>
  <si>
    <t>Assail 30SG</t>
  </si>
  <si>
    <t>Provado 1.6F</t>
  </si>
  <si>
    <t>Devironol W</t>
  </si>
  <si>
    <t>Princep 90DF</t>
  </si>
  <si>
    <t>Surflan AS</t>
  </si>
  <si>
    <t>General labor</t>
  </si>
  <si>
    <t>Harvest labor</t>
  </si>
  <si>
    <t>Other labor</t>
  </si>
  <si>
    <t>Plastic clamshells</t>
  </si>
  <si>
    <t>Flats</t>
  </si>
  <si>
    <t xml:space="preserve">Marketing </t>
  </si>
  <si>
    <t>Fresh berry sales</t>
  </si>
  <si>
    <t>Plants</t>
  </si>
  <si>
    <t>Soil test</t>
  </si>
  <si>
    <t>Oats seed (cover crop)</t>
  </si>
  <si>
    <t>Annual ryegrass (cover crop)</t>
  </si>
  <si>
    <t>Grass seed</t>
  </si>
  <si>
    <t>Fertilizer/lime</t>
  </si>
  <si>
    <t>Fungicides</t>
  </si>
  <si>
    <t>Insecticides</t>
  </si>
  <si>
    <t>Herbicides</t>
  </si>
  <si>
    <t>Drip tape</t>
  </si>
  <si>
    <t>Irrigation</t>
  </si>
  <si>
    <t>Plant analysis kit</t>
  </si>
  <si>
    <t>Interest on operating capital</t>
  </si>
  <si>
    <t xml:space="preserve">Refrigeration </t>
  </si>
  <si>
    <t>Sub-soiler</t>
  </si>
  <si>
    <t>Drill</t>
  </si>
  <si>
    <t>Disk bed</t>
  </si>
  <si>
    <t>Broadcast seeder</t>
  </si>
  <si>
    <t>trip</t>
  </si>
  <si>
    <t>Machinery fuel/repairs/maintenance</t>
  </si>
  <si>
    <t>Land</t>
  </si>
  <si>
    <t>Pounds per acre</t>
  </si>
  <si>
    <t>Price per pound</t>
  </si>
  <si>
    <t xml:space="preserve">Blueberry Enterprise Budget for Missouri </t>
  </si>
  <si>
    <t>This budget models 1-acre of open field blueberry production from establishment through 12 years of production. The perennial crop is assumed to reach full yield potential in year 4. Continual production is modeled through 15 years to discuss average returns per year and net present value of returns.</t>
  </si>
  <si>
    <t>Blueberry Enterprise Budget</t>
  </si>
  <si>
    <t>Peat moss</t>
  </si>
  <si>
    <t>Wood mulch</t>
  </si>
  <si>
    <t>cubic yard</t>
  </si>
  <si>
    <t>Nitrogen</t>
  </si>
  <si>
    <t>Sulfur</t>
  </si>
  <si>
    <t>Indar 2F</t>
  </si>
  <si>
    <t>Solicam 80DF</t>
  </si>
  <si>
    <t>Poast</t>
  </si>
  <si>
    <t>Sinbar WDG</t>
  </si>
  <si>
    <t>Imidan 70WSP</t>
  </si>
  <si>
    <t>Intrepid 2F</t>
  </si>
  <si>
    <t>Malathion 8F</t>
  </si>
  <si>
    <t>Rotary cutter</t>
  </si>
  <si>
    <t>Fertilizer spreader</t>
  </si>
  <si>
    <t>Disk harrow</t>
  </si>
  <si>
    <t>Chain harrow</t>
  </si>
  <si>
    <t>Rotary tiller</t>
  </si>
  <si>
    <t>Utility sprayer</t>
  </si>
  <si>
    <t>Bed shaper</t>
  </si>
  <si>
    <t>Trailer</t>
  </si>
  <si>
    <t>Front end loader</t>
  </si>
  <si>
    <t>Pollination</t>
  </si>
  <si>
    <t>Explore annual profitability expectations (per acre returns over total costs) under varying yield and price scenarios in full production and holding costs constant. Modify gray cells for further exploration.</t>
  </si>
  <si>
    <t>Blueberry Price and Yield Sensitivity Table</t>
  </si>
  <si>
    <r>
      <t>The</t>
    </r>
    <r>
      <rPr>
        <b/>
        <sz val="12"/>
        <color theme="1"/>
        <rFont val="Aptos"/>
        <family val="2"/>
        <scheme val="minor"/>
      </rPr>
      <t xml:space="preserve"> Net Present Value of net returns (NPV)</t>
    </r>
    <r>
      <rPr>
        <sz val="12"/>
        <color theme="1"/>
        <rFont val="Aptos"/>
        <family val="2"/>
        <scheme val="minor"/>
      </rPr>
      <t xml:space="preserve"> calculates the value of expected cash flows after subtracting intial investment costs over a period discounted to the present. Positive NPVs indicate the business is profitable. For example based on the existing model assumptions, 15 years after establishment the blueberry orchard is expected to return $63,702.55 in today's dollars factoring in a 6% required rate of return.</t>
    </r>
  </si>
  <si>
    <r>
      <rPr>
        <b/>
        <sz val="12"/>
        <color theme="1"/>
        <rFont val="Aptos"/>
        <family val="2"/>
        <scheme val="minor"/>
      </rPr>
      <t>Breakeven:</t>
    </r>
    <r>
      <rPr>
        <sz val="12"/>
        <color theme="1"/>
        <rFont val="Aptos"/>
        <family val="2"/>
        <scheme val="minor"/>
      </rPr>
      <t xml:space="preserve"> The modeled 1 acre blueberry farm is expected to 'breakeven' (cover investment and operating costs) in year 5 (NPV becomes positive). </t>
    </r>
  </si>
  <si>
    <t xml:space="preserve">  NPV years 1-5</t>
  </si>
  <si>
    <t>Average Returns Per Year and Net Present Values in Years 5, 10 and 15</t>
  </si>
  <si>
    <r>
      <rPr>
        <b/>
        <sz val="12"/>
        <color theme="1"/>
        <rFont val="Aptos"/>
        <family val="2"/>
        <scheme val="minor"/>
      </rPr>
      <t xml:space="preserve">The required rate of return </t>
    </r>
    <r>
      <rPr>
        <sz val="12"/>
        <color theme="1"/>
        <rFont val="Aptos"/>
        <family val="2"/>
        <scheme val="minor"/>
      </rPr>
      <t>reflects</t>
    </r>
    <r>
      <rPr>
        <b/>
        <sz val="12"/>
        <color theme="1"/>
        <rFont val="Aptos"/>
        <family val="2"/>
        <scheme val="minor"/>
      </rPr>
      <t xml:space="preserve"> </t>
    </r>
    <r>
      <rPr>
        <sz val="12"/>
        <color theme="1"/>
        <rFont val="Aptos"/>
        <family val="2"/>
        <scheme val="minor"/>
      </rPr>
      <t xml:space="preserve">the opportunity cost of capital, the desired rate of return, riskiness of the investment and allows you to compare potential financial performance of investing in an blueberry orchard to other investments. It is used to calculate a discount rate in the NPV formula which also accounts for the time value of money (assuming inflation continues - dollars received in the future are worth less than dollars received today). </t>
    </r>
  </si>
  <si>
    <t xml:space="preserve">For budget questions, contact: </t>
  </si>
  <si>
    <t>Ryan Milhollin, MU Extension</t>
  </si>
  <si>
    <t xml:space="preserve">For horticulture expertise, contact: </t>
  </si>
  <si>
    <t>MU Commercial Horticulture Team</t>
  </si>
  <si>
    <t>Developed by: Peter Zimmel, FAPRI</t>
  </si>
  <si>
    <t>Blueberry Operating Costs and Revenue Sensitivity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</si>
</sst>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s>
  <fonts count="25" x14ac:knownFonts="1">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b/>
      <sz val="12"/>
      <color theme="1"/>
      <name val="Aptos"/>
      <family val="2"/>
      <scheme val="minor"/>
    </font>
    <font>
      <b/>
      <sz val="12"/>
      <color rgb="FFFDB719"/>
      <name val="Aptos Black"/>
      <family val="2"/>
      <scheme val="major"/>
    </font>
    <font>
      <b/>
      <sz val="11"/>
      <name val="Aptos"/>
      <family val="2"/>
      <scheme val="minor"/>
    </font>
    <font>
      <u/>
      <sz val="11"/>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u/>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b/>
      <sz val="12"/>
      <color rgb="FFF1B82D"/>
      <name val="Aptos Black"/>
      <family val="2"/>
      <scheme val="major"/>
    </font>
    <font>
      <u/>
      <sz val="11"/>
      <color theme="10"/>
      <name val="Aptos"/>
      <family val="2"/>
      <scheme val="minor"/>
    </font>
    <font>
      <b/>
      <u/>
      <sz val="12"/>
      <color theme="10"/>
      <name val="Aptos"/>
      <family val="2"/>
      <scheme val="minor"/>
    </font>
  </fonts>
  <fills count="7">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
      <patternFill patternType="solid">
        <fgColor theme="7"/>
        <bgColor indexed="64"/>
      </patternFill>
    </fill>
  </fills>
  <borders count="29">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9" fillId="4" borderId="4" applyNumberFormat="0" applyAlignment="0" applyProtection="0"/>
    <xf numFmtId="0" fontId="1" fillId="0" borderId="0"/>
    <xf numFmtId="44" fontId="1" fillId="0" borderId="0" applyFont="0" applyFill="0" applyBorder="0" applyAlignment="0" applyProtection="0"/>
    <xf numFmtId="0" fontId="23" fillId="0" borderId="0" applyNumberFormat="0" applyFill="0" applyBorder="0" applyAlignment="0" applyProtection="0"/>
  </cellStyleXfs>
  <cellXfs count="146">
    <xf numFmtId="0" fontId="0" fillId="0" borderId="0" xfId="0"/>
    <xf numFmtId="0" fontId="2" fillId="0" borderId="0" xfId="0" applyFont="1"/>
    <xf numFmtId="0" fontId="10" fillId="5" borderId="0" xfId="0" applyFont="1" applyFill="1"/>
    <xf numFmtId="0" fontId="10" fillId="0" borderId="0" xfId="0" applyFont="1"/>
    <xf numFmtId="0" fontId="0" fillId="5" borderId="0" xfId="0" applyFill="1"/>
    <xf numFmtId="0" fontId="3" fillId="5" borderId="0" xfId="0" applyFont="1" applyFill="1" applyAlignment="1">
      <alignment horizontal="left" indent="4"/>
    </xf>
    <xf numFmtId="0" fontId="12" fillId="5" borderId="0" xfId="0" applyFont="1" applyFill="1"/>
    <xf numFmtId="0" fontId="12" fillId="0" borderId="0" xfId="0" applyFont="1"/>
    <xf numFmtId="0" fontId="12" fillId="0" borderId="0" xfId="0" applyFont="1" applyAlignment="1">
      <alignment wrapText="1"/>
    </xf>
    <xf numFmtId="0" fontId="4" fillId="5" borderId="0" xfId="0" applyFont="1" applyFill="1"/>
    <xf numFmtId="0" fontId="15" fillId="0" borderId="0" xfId="0" applyFont="1"/>
    <xf numFmtId="164" fontId="12" fillId="2" borderId="0" xfId="4" applyNumberFormat="1" applyFont="1" applyFill="1" applyProtection="1">
      <protection locked="0"/>
    </xf>
    <xf numFmtId="166" fontId="12" fillId="2" borderId="0" xfId="0" applyNumberFormat="1" applyFont="1" applyFill="1" applyProtection="1">
      <protection locked="0"/>
    </xf>
    <xf numFmtId="9" fontId="12" fillId="2" borderId="0" xfId="1" applyFont="1" applyFill="1" applyProtection="1">
      <protection locked="0"/>
    </xf>
    <xf numFmtId="10" fontId="12" fillId="2" borderId="0" xfId="0" applyNumberFormat="1" applyFont="1" applyFill="1" applyProtection="1">
      <protection locked="0"/>
    </xf>
    <xf numFmtId="164" fontId="12" fillId="2" borderId="0" xfId="0" applyNumberFormat="1" applyFont="1" applyFill="1" applyProtection="1">
      <protection locked="0"/>
    </xf>
    <xf numFmtId="165" fontId="12" fillId="2" borderId="0" xfId="0" applyNumberFormat="1" applyFont="1" applyFill="1" applyProtection="1">
      <protection locked="0"/>
    </xf>
    <xf numFmtId="0" fontId="12" fillId="2" borderId="0" xfId="0" applyFont="1" applyFill="1" applyProtection="1">
      <protection locked="0"/>
    </xf>
    <xf numFmtId="0" fontId="0" fillId="0" borderId="2" xfId="0" applyBorder="1"/>
    <xf numFmtId="0" fontId="0" fillId="0" borderId="11" xfId="0" applyBorder="1"/>
    <xf numFmtId="3" fontId="12" fillId="2" borderId="1" xfId="0" applyNumberFormat="1" applyFont="1" applyFill="1" applyBorder="1" applyProtection="1">
      <protection locked="0"/>
    </xf>
    <xf numFmtId="7" fontId="12" fillId="2" borderId="21" xfId="4" applyNumberFormat="1" applyFont="1" applyFill="1" applyBorder="1" applyAlignment="1" applyProtection="1">
      <alignment horizontal="center"/>
      <protection locked="0"/>
    </xf>
    <xf numFmtId="6" fontId="12" fillId="0" borderId="11" xfId="4" applyNumberFormat="1" applyFont="1" applyBorder="1" applyProtection="1"/>
    <xf numFmtId="7" fontId="12" fillId="0" borderId="21" xfId="4" applyNumberFormat="1" applyFont="1" applyBorder="1" applyAlignment="1" applyProtection="1">
      <alignment horizontal="center"/>
    </xf>
    <xf numFmtId="6" fontId="18" fillId="0" borderId="12" xfId="4" applyNumberFormat="1" applyFont="1" applyBorder="1" applyProtection="1"/>
    <xf numFmtId="6" fontId="18" fillId="0" borderId="0" xfId="4" applyNumberFormat="1" applyFont="1" applyBorder="1" applyProtection="1"/>
    <xf numFmtId="6" fontId="12" fillId="0" borderId="0" xfId="4" applyNumberFormat="1" applyFont="1" applyBorder="1" applyProtection="1"/>
    <xf numFmtId="6" fontId="12" fillId="0" borderId="13" xfId="4" applyNumberFormat="1" applyFont="1" applyBorder="1" applyProtection="1"/>
    <xf numFmtId="6" fontId="12" fillId="0" borderId="20" xfId="4" applyNumberFormat="1" applyFont="1" applyBorder="1" applyProtection="1"/>
    <xf numFmtId="7" fontId="12" fillId="0" borderId="22" xfId="4" applyNumberFormat="1" applyFont="1" applyBorder="1" applyAlignment="1" applyProtection="1">
      <alignment horizontal="center"/>
    </xf>
    <xf numFmtId="6" fontId="18" fillId="0" borderId="15" xfId="4" applyNumberFormat="1" applyFont="1" applyBorder="1" applyProtection="1"/>
    <xf numFmtId="6" fontId="18" fillId="0" borderId="2" xfId="4" applyNumberFormat="1" applyFont="1" applyBorder="1" applyProtection="1"/>
    <xf numFmtId="6" fontId="12" fillId="0" borderId="2" xfId="4" applyNumberFormat="1" applyFont="1" applyBorder="1" applyProtection="1"/>
    <xf numFmtId="6" fontId="12" fillId="0" borderId="14" xfId="4" applyNumberFormat="1" applyFont="1" applyBorder="1" applyProtection="1"/>
    <xf numFmtId="6" fontId="12" fillId="0" borderId="16" xfId="4" applyNumberFormat="1" applyFont="1" applyBorder="1" applyProtection="1"/>
    <xf numFmtId="6" fontId="18" fillId="0" borderId="11" xfId="4" applyNumberFormat="1" applyFont="1" applyFill="1" applyBorder="1" applyProtection="1"/>
    <xf numFmtId="6" fontId="18" fillId="0" borderId="18" xfId="4" applyNumberFormat="1" applyFont="1" applyFill="1" applyBorder="1" applyProtection="1"/>
    <xf numFmtId="6" fontId="12" fillId="0" borderId="12" xfId="4" applyNumberFormat="1" applyFont="1" applyBorder="1" applyProtection="1"/>
    <xf numFmtId="6" fontId="18" fillId="0" borderId="0" xfId="4" applyNumberFormat="1" applyFont="1" applyFill="1" applyBorder="1" applyProtection="1"/>
    <xf numFmtId="6" fontId="18" fillId="0" borderId="13" xfId="4" applyNumberFormat="1" applyFont="1" applyFill="1" applyBorder="1" applyProtection="1"/>
    <xf numFmtId="6" fontId="18" fillId="0" borderId="20" xfId="4" applyNumberFormat="1" applyFont="1" applyFill="1" applyBorder="1" applyProtection="1"/>
    <xf numFmtId="6" fontId="12" fillId="0" borderId="15" xfId="4" applyNumberFormat="1" applyFont="1" applyBorder="1" applyProtection="1"/>
    <xf numFmtId="6" fontId="18" fillId="0" borderId="2" xfId="4" applyNumberFormat="1" applyFont="1" applyFill="1" applyBorder="1" applyProtection="1"/>
    <xf numFmtId="6" fontId="18" fillId="0" borderId="14" xfId="4" applyNumberFormat="1" applyFont="1" applyFill="1" applyBorder="1" applyProtection="1"/>
    <xf numFmtId="9" fontId="12" fillId="5" borderId="0" xfId="1" applyFont="1" applyFill="1" applyProtection="1"/>
    <xf numFmtId="9" fontId="12" fillId="5" borderId="0" xfId="1" applyFont="1" applyFill="1" applyBorder="1" applyProtection="1"/>
    <xf numFmtId="164" fontId="12" fillId="0" borderId="0" xfId="4" applyNumberFormat="1" applyFont="1" applyProtection="1"/>
    <xf numFmtId="0" fontId="2" fillId="6" borderId="0" xfId="0" applyFont="1" applyFill="1"/>
    <xf numFmtId="0" fontId="4" fillId="5" borderId="0" xfId="0" applyFont="1" applyFill="1" applyAlignment="1">
      <alignment vertical="top" wrapText="1"/>
    </xf>
    <xf numFmtId="0" fontId="4" fillId="5" borderId="0" xfId="0" applyFont="1" applyFill="1" applyAlignment="1">
      <alignment horizontal="left" vertical="top"/>
    </xf>
    <xf numFmtId="0" fontId="8" fillId="0" borderId="0" xfId="0" applyFont="1"/>
    <xf numFmtId="0" fontId="12" fillId="3" borderId="16" xfId="0" applyFont="1" applyFill="1" applyBorder="1"/>
    <xf numFmtId="0" fontId="12" fillId="3" borderId="11" xfId="0" applyFont="1" applyFill="1" applyBorder="1"/>
    <xf numFmtId="0" fontId="12" fillId="3" borderId="12" xfId="0" applyFont="1" applyFill="1" applyBorder="1"/>
    <xf numFmtId="0" fontId="19" fillId="3" borderId="12" xfId="0" applyFont="1" applyFill="1" applyBorder="1" applyAlignment="1">
      <alignment horizontal="center" textRotation="90"/>
    </xf>
    <xf numFmtId="3" fontId="12" fillId="0" borderId="1" xfId="0" applyNumberFormat="1" applyFont="1" applyBorder="1"/>
    <xf numFmtId="3" fontId="12" fillId="0" borderId="24" xfId="0" applyNumberFormat="1" applyFont="1" applyBorder="1"/>
    <xf numFmtId="0" fontId="18" fillId="5" borderId="12" xfId="0" applyFont="1" applyFill="1" applyBorder="1" applyAlignment="1">
      <alignment horizontal="left" vertical="center"/>
    </xf>
    <xf numFmtId="9" fontId="18" fillId="5" borderId="12" xfId="0" applyNumberFormat="1" applyFont="1" applyFill="1" applyBorder="1" applyAlignment="1">
      <alignment horizontal="left" vertical="center"/>
    </xf>
    <xf numFmtId="0" fontId="18" fillId="5" borderId="15" xfId="0" applyFont="1" applyFill="1" applyBorder="1" applyAlignment="1">
      <alignment horizontal="left" vertical="center"/>
    </xf>
    <xf numFmtId="0" fontId="12" fillId="3" borderId="26" xfId="0" applyFont="1" applyFill="1" applyBorder="1"/>
    <xf numFmtId="0" fontId="17" fillId="3" borderId="19" xfId="0" applyFont="1" applyFill="1" applyBorder="1"/>
    <xf numFmtId="3" fontId="12" fillId="0" borderId="1" xfId="0" applyNumberFormat="1" applyFont="1" applyBorder="1" applyAlignment="1">
      <alignment horizontal="right"/>
    </xf>
    <xf numFmtId="3" fontId="12" fillId="0" borderId="24" xfId="0" applyNumberFormat="1" applyFont="1" applyBorder="1" applyAlignment="1">
      <alignment horizontal="right"/>
    </xf>
    <xf numFmtId="0" fontId="19" fillId="3" borderId="12" xfId="0" applyFont="1" applyFill="1" applyBorder="1" applyAlignment="1">
      <alignment horizontal="center" vertical="center" textRotation="90"/>
    </xf>
    <xf numFmtId="2" fontId="12" fillId="0" borderId="17" xfId="0" applyNumberFormat="1" applyFont="1" applyBorder="1" applyAlignment="1">
      <alignment horizontal="left"/>
    </xf>
    <xf numFmtId="0" fontId="19" fillId="3" borderId="15" xfId="0" applyFont="1" applyFill="1" applyBorder="1" applyAlignment="1">
      <alignment horizontal="center" vertical="center" textRotation="90"/>
    </xf>
    <xf numFmtId="2" fontId="12" fillId="0" borderId="27" xfId="0" applyNumberFormat="1" applyFont="1" applyBorder="1" applyAlignment="1">
      <alignment horizontal="left"/>
    </xf>
    <xf numFmtId="0" fontId="12" fillId="5" borderId="0" xfId="0" applyFont="1" applyFill="1" applyAlignment="1">
      <alignment horizontal="left"/>
    </xf>
    <xf numFmtId="0" fontId="13" fillId="5" borderId="0" xfId="0" applyFont="1" applyFill="1"/>
    <xf numFmtId="0" fontId="12" fillId="5" borderId="0" xfId="0" applyFont="1" applyFill="1" applyAlignment="1">
      <alignment horizontal="right"/>
    </xf>
    <xf numFmtId="164" fontId="12" fillId="5" borderId="0" xfId="0" applyNumberFormat="1" applyFont="1" applyFill="1"/>
    <xf numFmtId="0" fontId="4" fillId="0" borderId="0" xfId="0" applyFont="1"/>
    <xf numFmtId="164" fontId="12" fillId="0" borderId="0" xfId="4" applyNumberFormat="1" applyFont="1" applyFill="1" applyProtection="1"/>
    <xf numFmtId="164" fontId="12" fillId="0" borderId="0" xfId="4" applyNumberFormat="1" applyFont="1" applyFill="1" applyBorder="1" applyProtection="1"/>
    <xf numFmtId="0" fontId="7" fillId="0" borderId="0" xfId="0" applyFont="1"/>
    <xf numFmtId="0" fontId="2" fillId="0" borderId="0" xfId="0" applyFont="1" applyAlignment="1">
      <alignment wrapText="1"/>
    </xf>
    <xf numFmtId="0" fontId="0" fillId="0" borderId="0" xfId="0" applyAlignment="1">
      <alignment wrapText="1"/>
    </xf>
    <xf numFmtId="9" fontId="0" fillId="0" borderId="0" xfId="1" applyFont="1" applyFill="1" applyBorder="1" applyProtection="1"/>
    <xf numFmtId="0" fontId="0" fillId="0" borderId="0" xfId="0" applyAlignment="1">
      <alignment horizontal="right"/>
    </xf>
    <xf numFmtId="164" fontId="0" fillId="0" borderId="0" xfId="0" applyNumberFormat="1"/>
    <xf numFmtId="0" fontId="10" fillId="5" borderId="0" xfId="0" applyFont="1" applyFill="1" applyAlignment="1">
      <alignment horizontal="center"/>
    </xf>
    <xf numFmtId="0" fontId="5" fillId="0" borderId="0" xfId="0" applyFont="1"/>
    <xf numFmtId="0" fontId="18" fillId="0" borderId="0" xfId="0" applyFont="1"/>
    <xf numFmtId="0" fontId="16" fillId="0" borderId="1" xfId="0" applyFont="1" applyBorder="1"/>
    <xf numFmtId="0" fontId="6" fillId="0" borderId="1" xfId="0" applyFont="1" applyBorder="1" applyAlignment="1">
      <alignment horizontal="left" wrapText="1"/>
    </xf>
    <xf numFmtId="0" fontId="16" fillId="0" borderId="1" xfId="0" applyFont="1" applyBorder="1" applyAlignment="1">
      <alignment horizontal="center" wrapText="1"/>
    </xf>
    <xf numFmtId="0" fontId="16" fillId="0" borderId="0" xfId="0" applyFont="1" applyAlignment="1">
      <alignment horizontal="center" wrapText="1"/>
    </xf>
    <xf numFmtId="0" fontId="16" fillId="0" borderId="0" xfId="0" applyFont="1"/>
    <xf numFmtId="0" fontId="16" fillId="0" borderId="0" xfId="0" applyFont="1" applyAlignment="1">
      <alignment horizontal="center"/>
    </xf>
    <xf numFmtId="164" fontId="12" fillId="0" borderId="2" xfId="0" applyNumberFormat="1" applyFont="1" applyBorder="1"/>
    <xf numFmtId="0" fontId="4" fillId="0" borderId="0" xfId="0" applyFont="1" applyAlignment="1">
      <alignment horizontal="right"/>
    </xf>
    <xf numFmtId="164" fontId="12" fillId="0" borderId="0" xfId="0" applyNumberFormat="1" applyFont="1"/>
    <xf numFmtId="166" fontId="12" fillId="0" borderId="0" xfId="0" applyNumberFormat="1" applyFont="1"/>
    <xf numFmtId="165" fontId="12" fillId="0" borderId="0" xfId="0" applyNumberFormat="1" applyFont="1"/>
    <xf numFmtId="9" fontId="8" fillId="0" borderId="0" xfId="0" applyNumberFormat="1" applyFont="1" applyAlignment="1">
      <alignment horizontal="left"/>
    </xf>
    <xf numFmtId="9" fontId="12" fillId="0" borderId="0" xfId="0" applyNumberFormat="1" applyFont="1" applyAlignment="1">
      <alignment horizontal="left"/>
    </xf>
    <xf numFmtId="3" fontId="12" fillId="0" borderId="0" xfId="0" applyNumberFormat="1" applyFont="1"/>
    <xf numFmtId="164" fontId="13" fillId="0" borderId="0" xfId="0" applyNumberFormat="1" applyFont="1"/>
    <xf numFmtId="0" fontId="12" fillId="0" borderId="2" xfId="0" applyFont="1" applyBorder="1"/>
    <xf numFmtId="0" fontId="2" fillId="0" borderId="2" xfId="0" applyFont="1" applyBorder="1"/>
    <xf numFmtId="0" fontId="2" fillId="0" borderId="3" xfId="0" applyFont="1" applyBorder="1"/>
    <xf numFmtId="0" fontId="12" fillId="0" borderId="3" xfId="0" applyFont="1" applyBorder="1"/>
    <xf numFmtId="164" fontId="12" fillId="0" borderId="3" xfId="0" applyNumberFormat="1" applyFont="1" applyBorder="1"/>
    <xf numFmtId="0" fontId="4" fillId="5" borderId="0" xfId="0" applyFont="1" applyFill="1" applyAlignment="1">
      <alignment horizontal="right" vertical="top" wrapText="1"/>
    </xf>
    <xf numFmtId="0" fontId="24" fillId="5" borderId="0" xfId="5" applyFont="1" applyFill="1" applyAlignment="1">
      <alignment horizontal="left" vertical="top" wrapText="1"/>
    </xf>
    <xf numFmtId="0" fontId="4" fillId="5" borderId="0" xfId="0" applyFont="1" applyFill="1" applyAlignment="1">
      <alignment horizontal="left" vertical="top" wrapText="1"/>
    </xf>
    <xf numFmtId="0" fontId="12" fillId="3" borderId="0" xfId="0" applyFont="1" applyFill="1"/>
    <xf numFmtId="0" fontId="18" fillId="5" borderId="0" xfId="0" applyFont="1" applyFill="1" applyAlignment="1">
      <alignment horizontal="right"/>
    </xf>
    <xf numFmtId="0" fontId="18" fillId="5" borderId="13" xfId="0" applyFont="1" applyFill="1" applyBorder="1" applyAlignment="1">
      <alignment horizontal="right"/>
    </xf>
    <xf numFmtId="0" fontId="19" fillId="3" borderId="15" xfId="0" applyFont="1" applyFill="1" applyBorder="1" applyAlignment="1">
      <alignment horizontal="center" textRotation="90"/>
    </xf>
    <xf numFmtId="0" fontId="19" fillId="3" borderId="2" xfId="0" applyFont="1" applyFill="1" applyBorder="1" applyAlignment="1">
      <alignment horizontal="center" textRotation="90"/>
    </xf>
    <xf numFmtId="0" fontId="17" fillId="3" borderId="28" xfId="0" applyFont="1" applyFill="1" applyBorder="1"/>
    <xf numFmtId="0" fontId="12" fillId="3" borderId="18" xfId="0" applyFont="1" applyFill="1" applyBorder="1"/>
    <xf numFmtId="0" fontId="12" fillId="3" borderId="13" xfId="0" applyFont="1" applyFill="1" applyBorder="1"/>
    <xf numFmtId="0" fontId="4" fillId="0" borderId="0" xfId="0" applyFont="1" applyAlignment="1">
      <alignment horizontal="left"/>
    </xf>
    <xf numFmtId="0" fontId="4" fillId="0" borderId="2" xfId="0" applyFont="1" applyBorder="1" applyAlignment="1">
      <alignment horizontal="left"/>
    </xf>
    <xf numFmtId="0" fontId="11" fillId="3" borderId="5" xfId="0" applyFont="1" applyFill="1" applyBorder="1"/>
    <xf numFmtId="0" fontId="11" fillId="3" borderId="6" xfId="0" applyFont="1" applyFill="1" applyBorder="1"/>
    <xf numFmtId="0" fontId="21" fillId="3" borderId="5" xfId="3" applyFont="1" applyFill="1" applyBorder="1" applyAlignment="1">
      <alignment horizontal="center"/>
    </xf>
    <xf numFmtId="0" fontId="21" fillId="3" borderId="6" xfId="3" applyFont="1" applyFill="1" applyBorder="1" applyAlignment="1">
      <alignment horizontal="center"/>
    </xf>
    <xf numFmtId="0" fontId="21" fillId="3" borderId="7" xfId="3" applyFont="1" applyFill="1" applyBorder="1" applyAlignment="1">
      <alignment horizontal="center"/>
    </xf>
    <xf numFmtId="0" fontId="12" fillId="5" borderId="0" xfId="0" applyFont="1" applyFill="1" applyAlignment="1">
      <alignment horizontal="right"/>
    </xf>
    <xf numFmtId="0" fontId="0" fillId="5" borderId="0" xfId="0" applyFill="1"/>
    <xf numFmtId="0" fontId="12" fillId="5" borderId="0" xfId="0" applyFont="1" applyFill="1" applyAlignment="1">
      <alignment horizontal="left" vertical="top" wrapText="1"/>
    </xf>
    <xf numFmtId="0" fontId="14" fillId="4" borderId="8" xfId="2" applyFont="1" applyBorder="1" applyAlignment="1">
      <alignment horizontal="center" wrapText="1"/>
    </xf>
    <xf numFmtId="0" fontId="14" fillId="4" borderId="9" xfId="2" applyFont="1" applyBorder="1" applyAlignment="1">
      <alignment horizontal="center" wrapText="1"/>
    </xf>
    <xf numFmtId="0" fontId="14" fillId="4" borderId="10" xfId="2" applyFont="1" applyBorder="1" applyAlignment="1">
      <alignment horizontal="center" wrapText="1"/>
    </xf>
    <xf numFmtId="0" fontId="10" fillId="5" borderId="0" xfId="0" applyFont="1" applyFill="1" applyAlignment="1">
      <alignment horizontal="center"/>
    </xf>
    <xf numFmtId="0" fontId="18" fillId="0" borderId="2" xfId="0" applyFont="1" applyBorder="1" applyAlignment="1">
      <alignment horizontal="center" wrapText="1"/>
    </xf>
    <xf numFmtId="0" fontId="20" fillId="3" borderId="23" xfId="0" applyFont="1" applyFill="1" applyBorder="1" applyAlignment="1">
      <alignment horizontal="center" wrapText="1"/>
    </xf>
    <xf numFmtId="0" fontId="20" fillId="3" borderId="1" xfId="0" applyFont="1" applyFill="1" applyBorder="1" applyAlignment="1">
      <alignment horizontal="center" wrapText="1"/>
    </xf>
    <xf numFmtId="0" fontId="0" fillId="0" borderId="0" xfId="0" applyAlignment="1">
      <alignment horizontal="left" wrapText="1"/>
    </xf>
    <xf numFmtId="164" fontId="0" fillId="0" borderId="0" xfId="0" applyNumberFormat="1" applyAlignment="1">
      <alignment horizontal="right"/>
    </xf>
    <xf numFmtId="0" fontId="4" fillId="0" borderId="0" xfId="0" applyFont="1" applyAlignment="1">
      <alignment horizontal="left"/>
    </xf>
    <xf numFmtId="0" fontId="4" fillId="0" borderId="3" xfId="0" applyFont="1" applyBorder="1" applyAlignment="1">
      <alignment horizontal="left"/>
    </xf>
    <xf numFmtId="0" fontId="4" fillId="5" borderId="0" xfId="0" applyFont="1" applyFill="1" applyAlignment="1">
      <alignment horizontal="center"/>
    </xf>
    <xf numFmtId="0" fontId="12" fillId="0" borderId="0" xfId="0" applyFont="1" applyAlignment="1">
      <alignment horizontal="left"/>
    </xf>
    <xf numFmtId="0" fontId="12" fillId="5" borderId="0" xfId="0" applyFont="1" applyFill="1" applyAlignment="1">
      <alignment horizontal="left" wrapText="1"/>
    </xf>
    <xf numFmtId="0" fontId="22" fillId="3" borderId="21" xfId="0" applyFont="1" applyFill="1" applyBorder="1" applyAlignment="1">
      <alignment horizontal="center" vertical="center" textRotation="90"/>
    </xf>
    <xf numFmtId="0" fontId="22" fillId="3" borderId="22" xfId="0" applyFont="1" applyFill="1" applyBorder="1" applyAlignment="1">
      <alignment horizontal="center" vertical="center" textRotation="90"/>
    </xf>
    <xf numFmtId="0" fontId="22" fillId="3" borderId="25" xfId="0" applyFont="1" applyFill="1" applyBorder="1" applyAlignment="1">
      <alignment horizontal="center"/>
    </xf>
    <xf numFmtId="0" fontId="22" fillId="3" borderId="1" xfId="0" applyFont="1" applyFill="1" applyBorder="1" applyAlignment="1">
      <alignment horizontal="center"/>
    </xf>
    <xf numFmtId="0" fontId="22" fillId="3" borderId="24" xfId="0" applyFont="1" applyFill="1" applyBorder="1" applyAlignment="1">
      <alignment horizontal="center"/>
    </xf>
    <xf numFmtId="0" fontId="22" fillId="3" borderId="12" xfId="0" applyFont="1" applyFill="1" applyBorder="1" applyAlignment="1">
      <alignment horizontal="center" vertical="center" textRotation="90"/>
    </xf>
    <xf numFmtId="0" fontId="22" fillId="3" borderId="15" xfId="0" applyFont="1" applyFill="1" applyBorder="1" applyAlignment="1">
      <alignment horizontal="center" vertical="center" textRotation="90"/>
    </xf>
  </cellXfs>
  <cellStyles count="6">
    <cellStyle name="Currency" xfId="4" builtinId="4"/>
    <cellStyle name="Hyperlink" xfId="5" builtinId="8"/>
    <cellStyle name="Normal" xfId="0" builtinId="0"/>
    <cellStyle name="Normal 2 2" xfId="3" xr:uid="{B82EEC54-C959-4263-882E-61D78481713D}"/>
    <cellStyle name="Output" xfId="2" builtinId="21"/>
    <cellStyle name="Percent" xfId="1" builtinId="5"/>
  </cellStyles>
  <dxfs count="2">
    <dxf>
      <font>
        <color rgb="FFFF0000"/>
      </font>
    </dxf>
    <dxf>
      <font>
        <color rgb="FFFF000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2590800</xdr:colOff>
      <xdr:row>3</xdr:row>
      <xdr:rowOff>133350</xdr:rowOff>
    </xdr:from>
    <xdr:to>
      <xdr:col>3</xdr:col>
      <xdr:colOff>2752725</xdr:colOff>
      <xdr:row>8</xdr:row>
      <xdr:rowOff>148906</xdr:rowOff>
    </xdr:to>
    <xdr:pic>
      <xdr:nvPicPr>
        <xdr:cNvPr id="3" name="Picture 2" descr="University of Missouri - Extension and Food &amp; Agricultural Policy Research Institute">
          <a:extLst>
            <a:ext uri="{FF2B5EF4-FFF2-40B4-BE49-F238E27FC236}">
              <a16:creationId xmlns:a16="http://schemas.microsoft.com/office/drawing/2014/main" id="{5ABC196E-6112-4F0B-81C3-0BDA8D0BE83C}"/>
            </a:ext>
          </a:extLst>
        </xdr:cNvPr>
        <xdr:cNvPicPr>
          <a:picLocks noChangeAspect="1"/>
        </xdr:cNvPicPr>
      </xdr:nvPicPr>
      <xdr:blipFill>
        <a:blip xmlns:r="http://schemas.openxmlformats.org/officeDocument/2006/relationships" r:embed="rId1"/>
        <a:stretch>
          <a:fillRect/>
        </a:stretch>
      </xdr:blipFill>
      <xdr:spPr>
        <a:xfrm>
          <a:off x="4438650" y="809625"/>
          <a:ext cx="2800350" cy="9490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pageSetUpPr fitToPage="1"/>
  </sheetPr>
  <dimension ref="A1:M28"/>
  <sheetViews>
    <sheetView tabSelected="1" workbookViewId="0"/>
  </sheetViews>
  <sheetFormatPr defaultColWidth="0" defaultRowHeight="16.5" customHeight="1" zeroHeight="1" x14ac:dyDescent="0.4"/>
  <cols>
    <col min="1" max="1" width="2.796875" style="3" customWidth="1"/>
    <col min="2" max="2" width="30.5" style="3" customWidth="1"/>
    <col min="3" max="3" width="34.59765625" style="3" customWidth="1"/>
    <col min="4" max="4" width="36.59765625" style="3" customWidth="1"/>
    <col min="5" max="5" width="3" style="3" customWidth="1"/>
    <col min="6" max="8" width="9" style="3" hidden="1" customWidth="1"/>
    <col min="9" max="13" width="0" style="3" hidden="1" customWidth="1"/>
    <col min="14" max="16384" width="9" style="3" hidden="1"/>
  </cols>
  <sheetData>
    <row r="1" spans="1:13" ht="17.399999999999999" thickBot="1" x14ac:dyDescent="0.45">
      <c r="A1" s="2"/>
      <c r="B1" s="4"/>
      <c r="C1" s="4"/>
      <c r="D1" s="4"/>
      <c r="E1" s="2"/>
      <c r="F1" s="2"/>
      <c r="G1" s="2"/>
      <c r="H1" s="2"/>
      <c r="I1" s="2"/>
      <c r="J1" s="2"/>
      <c r="K1" s="2"/>
      <c r="L1" s="2"/>
      <c r="M1" s="2"/>
    </row>
    <row r="2" spans="1:13" ht="19.5" customHeight="1" thickBot="1" x14ac:dyDescent="0.45">
      <c r="A2" s="2"/>
      <c r="B2" s="119" t="s">
        <v>94</v>
      </c>
      <c r="C2" s="120"/>
      <c r="D2" s="121"/>
      <c r="E2" s="2"/>
      <c r="F2" s="2"/>
      <c r="G2" s="2"/>
      <c r="H2" s="2"/>
    </row>
    <row r="3" spans="1:13" ht="16.5" customHeight="1" x14ac:dyDescent="0.4">
      <c r="A3" s="2"/>
      <c r="B3" s="122" t="s">
        <v>0</v>
      </c>
      <c r="C3" s="122"/>
      <c r="D3" s="122"/>
      <c r="E3" s="2"/>
      <c r="F3" s="2"/>
      <c r="G3" s="2"/>
      <c r="H3" s="2"/>
    </row>
    <row r="4" spans="1:13" ht="16.8" x14ac:dyDescent="0.4">
      <c r="A4" s="2"/>
      <c r="B4" s="123"/>
      <c r="C4" s="123"/>
      <c r="D4" s="123"/>
      <c r="E4" s="2"/>
      <c r="F4" s="2"/>
      <c r="G4" s="2"/>
      <c r="H4" s="2"/>
    </row>
    <row r="5" spans="1:13" ht="16.8" x14ac:dyDescent="0.4">
      <c r="A5" s="2"/>
      <c r="B5" s="9" t="s">
        <v>130</v>
      </c>
      <c r="C5" s="7"/>
      <c r="D5" s="128"/>
      <c r="E5" s="2"/>
      <c r="F5" s="2"/>
      <c r="G5" s="2"/>
      <c r="H5" s="2"/>
    </row>
    <row r="6" spans="1:13" ht="16.5" customHeight="1" x14ac:dyDescent="0.4">
      <c r="A6" s="2"/>
      <c r="B6" s="49"/>
      <c r="C6" s="48"/>
      <c r="D6" s="128"/>
      <c r="E6" s="2"/>
      <c r="F6" s="2"/>
      <c r="G6" s="2"/>
      <c r="H6" s="2"/>
    </row>
    <row r="7" spans="1:13" ht="16.5" customHeight="1" x14ac:dyDescent="0.4">
      <c r="A7" s="2"/>
      <c r="B7" s="104" t="s">
        <v>126</v>
      </c>
      <c r="C7" s="105" t="s">
        <v>127</v>
      </c>
      <c r="D7" s="81"/>
      <c r="E7" s="2"/>
      <c r="F7" s="2"/>
      <c r="G7" s="2"/>
      <c r="H7" s="2"/>
    </row>
    <row r="8" spans="1:13" ht="8.1" customHeight="1" x14ac:dyDescent="0.4">
      <c r="A8" s="2"/>
      <c r="B8" s="104"/>
      <c r="C8" s="106"/>
      <c r="D8" s="81"/>
      <c r="E8" s="2"/>
      <c r="F8" s="2"/>
      <c r="G8" s="2"/>
      <c r="H8" s="2"/>
    </row>
    <row r="9" spans="1:13" ht="16.5" customHeight="1" x14ac:dyDescent="0.4">
      <c r="A9" s="2"/>
      <c r="B9" s="104" t="s">
        <v>128</v>
      </c>
      <c r="C9" s="105" t="s">
        <v>129</v>
      </c>
      <c r="D9" s="81"/>
      <c r="E9" s="2"/>
      <c r="F9" s="2"/>
      <c r="G9" s="2"/>
      <c r="H9" s="2"/>
    </row>
    <row r="10" spans="1:13" ht="16.8" x14ac:dyDescent="0.4">
      <c r="A10" s="2"/>
      <c r="B10" s="5"/>
      <c r="C10"/>
      <c r="D10" s="4"/>
      <c r="E10" s="2"/>
      <c r="F10" s="2"/>
      <c r="G10" s="2"/>
      <c r="H10" s="2"/>
    </row>
    <row r="11" spans="1:13" ht="48.6" customHeight="1" x14ac:dyDescent="0.4">
      <c r="A11" s="2"/>
      <c r="B11" s="124" t="s">
        <v>39</v>
      </c>
      <c r="C11" s="124"/>
      <c r="D11" s="124"/>
      <c r="E11" s="2"/>
      <c r="F11" s="2"/>
      <c r="G11" s="2"/>
      <c r="H11" s="2"/>
    </row>
    <row r="12" spans="1:13" ht="50.25" customHeight="1" x14ac:dyDescent="0.4">
      <c r="A12" s="2"/>
      <c r="B12" s="124" t="s">
        <v>95</v>
      </c>
      <c r="C12" s="124"/>
      <c r="D12" s="124"/>
      <c r="F12" s="2"/>
      <c r="G12" s="2"/>
      <c r="H12" s="2"/>
    </row>
    <row r="13" spans="1:13" ht="16.5" customHeight="1" x14ac:dyDescent="0.4">
      <c r="A13" s="2"/>
      <c r="B13" s="6"/>
      <c r="C13" s="6"/>
      <c r="D13" s="6"/>
      <c r="E13" s="2"/>
      <c r="F13" s="2"/>
      <c r="G13" s="2"/>
      <c r="H13" s="2"/>
    </row>
    <row r="14" spans="1:13" ht="16.5" customHeight="1" x14ac:dyDescent="0.4">
      <c r="A14" s="2"/>
      <c r="B14" s="125" t="s">
        <v>1</v>
      </c>
      <c r="C14" s="126"/>
      <c r="D14" s="127"/>
      <c r="E14" s="2"/>
      <c r="F14" s="2"/>
      <c r="G14" s="2"/>
      <c r="H14" s="2"/>
    </row>
    <row r="15" spans="1:13" ht="17.399999999999999" thickBot="1" x14ac:dyDescent="0.45">
      <c r="A15" s="2"/>
      <c r="B15" s="4"/>
      <c r="C15" s="4"/>
      <c r="D15" s="4"/>
      <c r="E15" s="2"/>
      <c r="F15" s="2"/>
      <c r="G15" s="2"/>
      <c r="H15" s="2"/>
    </row>
    <row r="16" spans="1:13" ht="19.2" thickBot="1" x14ac:dyDescent="0.45">
      <c r="A16" s="2"/>
      <c r="B16" s="117"/>
      <c r="C16" s="118"/>
      <c r="D16" s="118"/>
      <c r="E16" s="2"/>
      <c r="F16" s="2"/>
      <c r="G16" s="2"/>
      <c r="H16" s="2"/>
    </row>
    <row r="17" spans="1:8" ht="16.8" x14ac:dyDescent="0.4">
      <c r="A17" s="2"/>
      <c r="B17" s="2"/>
      <c r="C17" s="2"/>
      <c r="D17" s="2"/>
      <c r="E17" s="2"/>
      <c r="F17" s="2"/>
      <c r="G17" s="2"/>
      <c r="H17" s="2"/>
    </row>
    <row r="18" spans="1:8" ht="16.8" hidden="1" x14ac:dyDescent="0.4">
      <c r="A18" s="2"/>
      <c r="B18" s="2"/>
      <c r="C18" s="2"/>
      <c r="D18" s="2"/>
      <c r="E18" s="2"/>
      <c r="F18" s="2"/>
      <c r="G18" s="2"/>
      <c r="H18" s="2"/>
    </row>
    <row r="19" spans="1:8" ht="16.8" hidden="1" x14ac:dyDescent="0.4">
      <c r="A19" s="2"/>
      <c r="B19" s="2"/>
      <c r="C19" s="2"/>
      <c r="D19" s="2"/>
      <c r="E19" s="2"/>
      <c r="F19" s="2"/>
      <c r="G19" s="2"/>
      <c r="H19" s="2"/>
    </row>
    <row r="20" spans="1:8" ht="16.8" hidden="1" x14ac:dyDescent="0.4">
      <c r="A20" s="2"/>
      <c r="B20" s="2"/>
      <c r="C20" s="2"/>
      <c r="D20" s="2"/>
      <c r="E20" s="2"/>
      <c r="F20" s="2"/>
      <c r="G20" s="2"/>
      <c r="H20" s="2"/>
    </row>
    <row r="21" spans="1:8" ht="16.8" hidden="1" x14ac:dyDescent="0.4">
      <c r="A21" s="2"/>
      <c r="B21" s="2"/>
      <c r="C21" s="2"/>
      <c r="D21" s="2"/>
      <c r="E21" s="2"/>
      <c r="F21" s="2"/>
      <c r="G21" s="2"/>
      <c r="H21" s="2"/>
    </row>
    <row r="22" spans="1:8" ht="16.8" hidden="1" x14ac:dyDescent="0.4">
      <c r="A22" s="2"/>
      <c r="B22" s="2"/>
      <c r="C22" s="2"/>
      <c r="D22" s="2"/>
      <c r="E22" s="2"/>
      <c r="F22" s="2"/>
      <c r="G22" s="2"/>
      <c r="H22" s="2"/>
    </row>
    <row r="23" spans="1:8" ht="16.8" hidden="1" x14ac:dyDescent="0.4">
      <c r="A23" s="2"/>
      <c r="B23" s="2"/>
      <c r="C23" s="2"/>
      <c r="D23" s="2"/>
      <c r="E23" s="2"/>
      <c r="F23" s="2"/>
      <c r="G23" s="2"/>
      <c r="H23" s="2"/>
    </row>
    <row r="24" spans="1:8" ht="16.8" hidden="1" x14ac:dyDescent="0.4">
      <c r="A24" s="2"/>
      <c r="B24" s="2"/>
      <c r="C24" s="2"/>
      <c r="D24" s="2"/>
      <c r="E24" s="2"/>
      <c r="F24" s="2"/>
      <c r="G24" s="2"/>
      <c r="H24" s="2"/>
    </row>
    <row r="25" spans="1:8" ht="16.8" hidden="1" x14ac:dyDescent="0.4">
      <c r="A25" s="2"/>
      <c r="B25" s="2"/>
      <c r="C25" s="2"/>
      <c r="D25" s="2"/>
      <c r="E25" s="2"/>
      <c r="F25" s="2"/>
      <c r="G25" s="2"/>
      <c r="H25" s="2"/>
    </row>
    <row r="26" spans="1:8" ht="16.8" hidden="1" x14ac:dyDescent="0.4">
      <c r="A26" s="2"/>
    </row>
    <row r="27" spans="1:8" ht="16.8" hidden="1" x14ac:dyDescent="0.4">
      <c r="A27" s="2"/>
    </row>
    <row r="28" spans="1:8" ht="16.8" hidden="1" x14ac:dyDescent="0.4">
      <c r="A28" s="2"/>
    </row>
  </sheetData>
  <sheetProtection sheet="1" objects="1" scenarios="1"/>
  <mergeCells count="8">
    <mergeCell ref="B16:D16"/>
    <mergeCell ref="B2:D2"/>
    <mergeCell ref="B3:D3"/>
    <mergeCell ref="B4:D4"/>
    <mergeCell ref="B12:D12"/>
    <mergeCell ref="B14:D14"/>
    <mergeCell ref="B11:D11"/>
    <mergeCell ref="D5:D6"/>
  </mergeCells>
  <hyperlinks>
    <hyperlink ref="C9" r:id="rId1" xr:uid="{BB3FA1A9-9037-432E-9854-8F52FD82CD63}"/>
    <hyperlink ref="C7" r:id="rId2" xr:uid="{D4EC7127-5736-4977-A6BD-29456AE73FD3}"/>
  </hyperlinks>
  <pageMargins left="0.7" right="0.7" top="0.75" bottom="0.75" header="0.3" footer="0.3"/>
  <pageSetup scale="80"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pageSetUpPr fitToPage="1"/>
  </sheetPr>
  <dimension ref="A1:X85"/>
  <sheetViews>
    <sheetView showGridLines="0" zoomScaleNormal="100" workbookViewId="0"/>
  </sheetViews>
  <sheetFormatPr defaultColWidth="0" defaultRowHeight="16.05" customHeight="1" zeroHeight="1" x14ac:dyDescent="0.35"/>
  <cols>
    <col min="1" max="1" width="3.09765625" style="1" customWidth="1"/>
    <col min="2" max="2" width="1.59765625" style="1" customWidth="1"/>
    <col min="3" max="3" width="33.796875" style="1" customWidth="1"/>
    <col min="4" max="4" width="8.09765625" style="1" customWidth="1"/>
    <col min="5" max="5" width="8.5" style="1" customWidth="1"/>
    <col min="6" max="6" width="1" style="1" customWidth="1"/>
    <col min="7" max="7" width="8.796875" style="1" customWidth="1"/>
    <col min="8" max="8" width="11.59765625" style="1" customWidth="1"/>
    <col min="9" max="9" width="1.59765625" style="1" customWidth="1"/>
    <col min="10" max="10" width="8.796875" style="1" customWidth="1"/>
    <col min="11" max="11" width="12.09765625" style="1" customWidth="1"/>
    <col min="12" max="12" width="1.59765625" style="1" customWidth="1"/>
    <col min="13" max="13" width="8.796875" style="1" customWidth="1"/>
    <col min="14" max="14" width="12.09765625" style="1" customWidth="1"/>
    <col min="15" max="15" width="1.59765625" style="1" customWidth="1"/>
    <col min="16" max="16" width="8.796875" style="1" customWidth="1"/>
    <col min="17" max="17" width="12.09765625" style="1" customWidth="1"/>
    <col min="18" max="18" width="1.59765625" style="1" customWidth="1"/>
    <col min="19" max="19" width="3.09765625" style="1" customWidth="1"/>
    <col min="20" max="23" width="9" style="1" hidden="1" customWidth="1"/>
    <col min="24" max="24" width="0" style="1" hidden="1" customWidth="1"/>
    <col min="25" max="16384" width="9" style="1" hidden="1"/>
  </cols>
  <sheetData>
    <row r="1" spans="1:18" ht="16.5" customHeight="1" x14ac:dyDescent="0.35">
      <c r="B1" s="72"/>
      <c r="C1" s="72"/>
      <c r="D1"/>
      <c r="E1"/>
      <c r="F1"/>
      <c r="G1"/>
      <c r="H1"/>
      <c r="I1"/>
      <c r="J1"/>
      <c r="K1"/>
      <c r="L1"/>
      <c r="M1"/>
      <c r="N1"/>
      <c r="O1"/>
      <c r="P1"/>
      <c r="Q1"/>
    </row>
    <row r="2" spans="1:18" ht="18.75" customHeight="1" x14ac:dyDescent="0.4">
      <c r="B2" s="130" t="s">
        <v>96</v>
      </c>
      <c r="C2" s="131"/>
      <c r="D2" s="131"/>
      <c r="E2" s="131"/>
      <c r="F2" s="131"/>
      <c r="G2" s="131"/>
      <c r="H2" s="131"/>
      <c r="I2" s="131"/>
      <c r="J2" s="131"/>
      <c r="K2" s="131"/>
      <c r="L2" s="131"/>
      <c r="M2" s="131"/>
      <c r="N2" s="131"/>
      <c r="O2" s="131"/>
      <c r="P2" s="131"/>
      <c r="Q2" s="131"/>
      <c r="R2" s="131"/>
    </row>
    <row r="3" spans="1:18" ht="32.549999999999997" customHeight="1" x14ac:dyDescent="0.35">
      <c r="B3" s="82"/>
      <c r="C3" s="82"/>
      <c r="D3" s="82"/>
      <c r="E3" s="82"/>
      <c r="F3" s="82"/>
      <c r="G3" s="129" t="s">
        <v>46</v>
      </c>
      <c r="H3" s="129"/>
      <c r="I3" s="83"/>
      <c r="J3" s="129" t="s">
        <v>47</v>
      </c>
      <c r="K3" s="129"/>
      <c r="L3" s="83"/>
      <c r="M3" s="129" t="s">
        <v>48</v>
      </c>
      <c r="N3" s="129"/>
      <c r="O3" s="83"/>
      <c r="P3" s="129" t="s">
        <v>49</v>
      </c>
      <c r="Q3" s="129"/>
    </row>
    <row r="4" spans="1:18" ht="35.1" customHeight="1" x14ac:dyDescent="0.4">
      <c r="A4" s="10"/>
      <c r="B4" s="84" t="s">
        <v>17</v>
      </c>
      <c r="C4" s="84"/>
      <c r="D4" s="85" t="s">
        <v>3</v>
      </c>
      <c r="E4" s="86" t="s">
        <v>4</v>
      </c>
      <c r="F4" s="87"/>
      <c r="G4" s="86" t="s">
        <v>5</v>
      </c>
      <c r="H4" s="86" t="s">
        <v>6</v>
      </c>
      <c r="I4" s="88"/>
      <c r="J4" s="86" t="s">
        <v>5</v>
      </c>
      <c r="K4" s="86" t="s">
        <v>7</v>
      </c>
      <c r="L4" s="88"/>
      <c r="M4" s="86" t="s">
        <v>5</v>
      </c>
      <c r="N4" s="86" t="s">
        <v>6</v>
      </c>
      <c r="O4" s="89"/>
      <c r="P4" s="86" t="s">
        <v>5</v>
      </c>
      <c r="Q4" s="86" t="s">
        <v>6</v>
      </c>
    </row>
    <row r="5" spans="1:18" ht="16.05" customHeight="1" x14ac:dyDescent="0.4">
      <c r="A5" s="10"/>
      <c r="B5" s="7" t="s">
        <v>70</v>
      </c>
      <c r="C5" s="7"/>
      <c r="D5" s="50" t="s">
        <v>11</v>
      </c>
      <c r="E5" s="11">
        <v>3.92</v>
      </c>
      <c r="F5" s="7"/>
      <c r="G5" s="17">
        <v>0</v>
      </c>
      <c r="H5" s="90">
        <f>G5*E5</f>
        <v>0</v>
      </c>
      <c r="I5" s="7"/>
      <c r="J5" s="17">
        <v>0</v>
      </c>
      <c r="K5" s="90">
        <f>J5*E5</f>
        <v>0</v>
      </c>
      <c r="L5" s="7"/>
      <c r="M5" s="16">
        <v>0</v>
      </c>
      <c r="N5" s="90">
        <f>M5*E5</f>
        <v>0</v>
      </c>
      <c r="O5" s="7"/>
      <c r="P5" s="16">
        <v>6352.5</v>
      </c>
      <c r="Q5" s="90">
        <f>P5*E5</f>
        <v>24901.8</v>
      </c>
    </row>
    <row r="6" spans="1:18" ht="16.05" customHeight="1" x14ac:dyDescent="0.4">
      <c r="A6" s="10"/>
      <c r="C6" s="91" t="s">
        <v>18</v>
      </c>
      <c r="D6"/>
      <c r="E6" s="7"/>
      <c r="F6" s="7"/>
      <c r="G6" s="7"/>
      <c r="H6" s="92">
        <f>H5</f>
        <v>0</v>
      </c>
      <c r="I6" s="7"/>
      <c r="J6" s="7"/>
      <c r="K6" s="92">
        <f>K5</f>
        <v>0</v>
      </c>
      <c r="L6" s="7"/>
      <c r="M6" s="7"/>
      <c r="N6" s="92">
        <f>N5</f>
        <v>0</v>
      </c>
      <c r="O6" s="7"/>
      <c r="P6" s="7"/>
      <c r="Q6" s="92">
        <f>Q5</f>
        <v>24901.8</v>
      </c>
    </row>
    <row r="7" spans="1:18" ht="35.1" customHeight="1" x14ac:dyDescent="0.4">
      <c r="A7" s="10"/>
      <c r="B7" s="84" t="s">
        <v>19</v>
      </c>
      <c r="C7" s="84"/>
      <c r="D7" s="85" t="s">
        <v>3</v>
      </c>
      <c r="E7" s="86" t="s">
        <v>4</v>
      </c>
      <c r="F7" s="87"/>
      <c r="G7" s="86" t="s">
        <v>5</v>
      </c>
      <c r="H7" s="86" t="s">
        <v>6</v>
      </c>
      <c r="I7" s="88"/>
      <c r="J7" s="86" t="s">
        <v>5</v>
      </c>
      <c r="K7" s="86" t="s">
        <v>7</v>
      </c>
      <c r="L7" s="88"/>
      <c r="M7" s="86" t="s">
        <v>5</v>
      </c>
      <c r="N7" s="86" t="s">
        <v>6</v>
      </c>
      <c r="O7" s="89"/>
      <c r="P7" s="86" t="s">
        <v>5</v>
      </c>
      <c r="Q7" s="86" t="s">
        <v>6</v>
      </c>
    </row>
    <row r="8" spans="1:18" ht="16.05" customHeight="1" x14ac:dyDescent="0.4">
      <c r="A8" s="10"/>
      <c r="B8" s="7" t="s">
        <v>71</v>
      </c>
      <c r="C8" s="7"/>
      <c r="D8" s="50" t="s">
        <v>8</v>
      </c>
      <c r="E8" s="11">
        <v>5.7</v>
      </c>
      <c r="F8" s="7"/>
      <c r="G8" s="12">
        <v>0</v>
      </c>
      <c r="H8" s="92">
        <f>G8*$E$8</f>
        <v>0</v>
      </c>
      <c r="I8" s="7"/>
      <c r="J8" s="12">
        <v>1210</v>
      </c>
      <c r="K8" s="92">
        <f>J8*E8</f>
        <v>6897</v>
      </c>
      <c r="L8" s="7"/>
      <c r="M8" s="16">
        <v>36</v>
      </c>
      <c r="N8" s="92">
        <f>M8*E8</f>
        <v>205.20000000000002</v>
      </c>
      <c r="O8" s="7"/>
      <c r="P8" s="12">
        <v>36</v>
      </c>
      <c r="Q8" s="92">
        <f>P8*E8</f>
        <v>205.20000000000002</v>
      </c>
    </row>
    <row r="9" spans="1:18" ht="16.05" customHeight="1" x14ac:dyDescent="0.4">
      <c r="A9" s="10"/>
      <c r="B9" s="7" t="s">
        <v>72</v>
      </c>
      <c r="C9" s="7"/>
      <c r="D9" s="50" t="s">
        <v>9</v>
      </c>
      <c r="E9" s="11">
        <v>15</v>
      </c>
      <c r="F9" s="7"/>
      <c r="G9" s="12">
        <v>1</v>
      </c>
      <c r="H9" s="92">
        <f>G9*$E9</f>
        <v>15</v>
      </c>
      <c r="I9" s="7"/>
      <c r="J9" s="12">
        <v>0</v>
      </c>
      <c r="K9" s="92">
        <f>J9*E9</f>
        <v>0</v>
      </c>
      <c r="L9" s="7"/>
      <c r="M9" s="16">
        <v>0</v>
      </c>
      <c r="N9" s="92">
        <f>M9*E9</f>
        <v>0</v>
      </c>
      <c r="O9" s="7"/>
      <c r="P9" s="12">
        <v>0</v>
      </c>
      <c r="Q9" s="92">
        <f>P9*$E9</f>
        <v>0</v>
      </c>
    </row>
    <row r="10" spans="1:18" ht="16.05" customHeight="1" x14ac:dyDescent="0.4">
      <c r="A10" s="10"/>
      <c r="B10" s="7" t="s">
        <v>73</v>
      </c>
      <c r="C10" s="7"/>
      <c r="D10" s="50" t="s">
        <v>44</v>
      </c>
      <c r="E10" s="11">
        <v>8.4747899159663884</v>
      </c>
      <c r="F10" s="7"/>
      <c r="G10" s="12">
        <v>3</v>
      </c>
      <c r="H10" s="92">
        <f t="shared" ref="H10:H11" si="0">G10*$E10</f>
        <v>25.424369747899163</v>
      </c>
      <c r="I10" s="7"/>
      <c r="J10" s="12">
        <v>0</v>
      </c>
      <c r="K10" s="92">
        <f t="shared" ref="K10:K11" si="1">J10*E10</f>
        <v>0</v>
      </c>
      <c r="L10" s="7"/>
      <c r="M10" s="16">
        <v>0</v>
      </c>
      <c r="N10" s="92">
        <f t="shared" ref="N10:N11" si="2">M10*E10</f>
        <v>0</v>
      </c>
      <c r="O10" s="7"/>
      <c r="P10" s="12">
        <v>0</v>
      </c>
      <c r="Q10" s="92">
        <f t="shared" ref="Q10:Q37" si="3">P10*$E10</f>
        <v>0</v>
      </c>
    </row>
    <row r="11" spans="1:18" ht="16.05" customHeight="1" x14ac:dyDescent="0.4">
      <c r="A11" s="10"/>
      <c r="B11" s="7" t="s">
        <v>74</v>
      </c>
      <c r="C11" s="7"/>
      <c r="D11" s="50" t="s">
        <v>11</v>
      </c>
      <c r="E11" s="11">
        <v>1.34</v>
      </c>
      <c r="F11" s="7"/>
      <c r="G11" s="12">
        <v>30</v>
      </c>
      <c r="H11" s="92">
        <f t="shared" si="0"/>
        <v>40.200000000000003</v>
      </c>
      <c r="I11" s="7"/>
      <c r="J11" s="12">
        <v>0</v>
      </c>
      <c r="K11" s="92">
        <f t="shared" si="1"/>
        <v>0</v>
      </c>
      <c r="L11" s="7"/>
      <c r="M11" s="16">
        <v>0</v>
      </c>
      <c r="N11" s="92">
        <f t="shared" si="2"/>
        <v>0</v>
      </c>
      <c r="O11" s="7"/>
      <c r="P11" s="12">
        <v>0</v>
      </c>
      <c r="Q11" s="92">
        <f t="shared" si="3"/>
        <v>0</v>
      </c>
    </row>
    <row r="12" spans="1:18" ht="16.05" customHeight="1" x14ac:dyDescent="0.4">
      <c r="A12" s="10"/>
      <c r="B12" s="7" t="s">
        <v>75</v>
      </c>
      <c r="C12" s="7"/>
      <c r="D12" s="50" t="s">
        <v>11</v>
      </c>
      <c r="E12" s="11">
        <v>3.1</v>
      </c>
      <c r="F12" s="7"/>
      <c r="G12" s="12">
        <v>0</v>
      </c>
      <c r="H12" s="92">
        <f>G12*$E12</f>
        <v>0</v>
      </c>
      <c r="I12" s="7"/>
      <c r="J12" s="12">
        <v>18.5</v>
      </c>
      <c r="K12" s="92">
        <f>J12*$E12</f>
        <v>57.35</v>
      </c>
      <c r="L12" s="7"/>
      <c r="M12" s="16">
        <v>0</v>
      </c>
      <c r="N12" s="92">
        <f>M12*$E12</f>
        <v>0</v>
      </c>
      <c r="O12" s="7"/>
      <c r="P12" s="12">
        <v>0</v>
      </c>
      <c r="Q12" s="92">
        <f t="shared" si="3"/>
        <v>0</v>
      </c>
    </row>
    <row r="13" spans="1:18" ht="16.05" customHeight="1" x14ac:dyDescent="0.4">
      <c r="A13" s="10"/>
      <c r="B13" s="7" t="s">
        <v>97</v>
      </c>
      <c r="C13" s="7"/>
      <c r="D13" s="50" t="s">
        <v>50</v>
      </c>
      <c r="E13" s="11">
        <v>1.43</v>
      </c>
      <c r="F13" s="7"/>
      <c r="G13" s="12">
        <v>0</v>
      </c>
      <c r="H13" s="92">
        <f>G13*$E13</f>
        <v>0</v>
      </c>
      <c r="I13" s="7"/>
      <c r="J13" s="12">
        <v>1815</v>
      </c>
      <c r="K13" s="92">
        <f>J13*$E13</f>
        <v>2595.4499999999998</v>
      </c>
      <c r="L13" s="7"/>
      <c r="M13" s="16">
        <v>54</v>
      </c>
      <c r="N13" s="92">
        <f>M13*$E13</f>
        <v>77.22</v>
      </c>
      <c r="O13" s="7"/>
      <c r="P13" s="12">
        <v>54</v>
      </c>
      <c r="Q13" s="92">
        <f t="shared" si="3"/>
        <v>77.22</v>
      </c>
    </row>
    <row r="14" spans="1:18" ht="16.05" customHeight="1" x14ac:dyDescent="0.4">
      <c r="A14" s="10"/>
      <c r="B14" s="7" t="s">
        <v>98</v>
      </c>
      <c r="C14" s="7"/>
      <c r="D14" s="50" t="s">
        <v>99</v>
      </c>
      <c r="E14" s="11">
        <v>1.67</v>
      </c>
      <c r="F14" s="7"/>
      <c r="G14" s="12">
        <v>0</v>
      </c>
      <c r="H14" s="92">
        <f>G14*$E14</f>
        <v>0</v>
      </c>
      <c r="I14" s="7"/>
      <c r="J14" s="12">
        <v>100</v>
      </c>
      <c r="K14" s="92">
        <f>J14*$E14</f>
        <v>167</v>
      </c>
      <c r="L14" s="7"/>
      <c r="M14" s="16">
        <v>0</v>
      </c>
      <c r="N14" s="92">
        <f>M14*$E14</f>
        <v>0</v>
      </c>
      <c r="O14" s="7"/>
      <c r="P14" s="12">
        <v>10</v>
      </c>
      <c r="Q14" s="92">
        <f t="shared" si="3"/>
        <v>16.7</v>
      </c>
    </row>
    <row r="15" spans="1:18" ht="16.05" customHeight="1" x14ac:dyDescent="0.4">
      <c r="A15" s="10"/>
      <c r="B15" s="7" t="s">
        <v>76</v>
      </c>
      <c r="C15" s="7"/>
      <c r="D15" s="50"/>
      <c r="E15" s="73"/>
      <c r="F15" s="7"/>
      <c r="G15" s="93"/>
      <c r="H15" s="92"/>
      <c r="I15" s="7"/>
      <c r="J15" s="93"/>
      <c r="K15" s="92"/>
      <c r="L15" s="7"/>
      <c r="M15" s="94"/>
      <c r="N15" s="92"/>
      <c r="O15" s="7"/>
      <c r="P15" s="93"/>
      <c r="Q15" s="92"/>
    </row>
    <row r="16" spans="1:18" ht="16.05" customHeight="1" x14ac:dyDescent="0.4">
      <c r="A16" s="10"/>
      <c r="C16" s="7" t="s">
        <v>100</v>
      </c>
      <c r="D16" s="50" t="s">
        <v>11</v>
      </c>
      <c r="E16" s="11">
        <v>0.45</v>
      </c>
      <c r="F16" s="7"/>
      <c r="G16" s="12">
        <v>0</v>
      </c>
      <c r="H16" s="92">
        <f t="shared" ref="H16:H37" si="4">G16*$E16</f>
        <v>0</v>
      </c>
      <c r="I16" s="7"/>
      <c r="J16" s="12">
        <v>10</v>
      </c>
      <c r="K16" s="92">
        <f t="shared" ref="K16:K37" si="5">J16*$E16</f>
        <v>4.5</v>
      </c>
      <c r="L16" s="7"/>
      <c r="M16" s="16">
        <v>105</v>
      </c>
      <c r="N16" s="92">
        <f t="shared" ref="N16:N37" si="6">M16*$E16</f>
        <v>47.25</v>
      </c>
      <c r="O16" s="7"/>
      <c r="P16" s="12">
        <v>105</v>
      </c>
      <c r="Q16" s="92">
        <f t="shared" si="3"/>
        <v>47.25</v>
      </c>
    </row>
    <row r="17" spans="1:17" ht="16.05" customHeight="1" x14ac:dyDescent="0.4">
      <c r="A17" s="10"/>
      <c r="C17" s="7" t="s">
        <v>54</v>
      </c>
      <c r="D17" s="50" t="s">
        <v>11</v>
      </c>
      <c r="E17" s="11">
        <v>0.55000000000000004</v>
      </c>
      <c r="F17" s="7"/>
      <c r="G17" s="12">
        <v>14</v>
      </c>
      <c r="H17" s="92">
        <f t="shared" si="4"/>
        <v>7.7000000000000011</v>
      </c>
      <c r="I17" s="7"/>
      <c r="J17" s="12">
        <v>0</v>
      </c>
      <c r="K17" s="92">
        <f t="shared" si="5"/>
        <v>0</v>
      </c>
      <c r="L17" s="7"/>
      <c r="M17" s="16">
        <v>0</v>
      </c>
      <c r="N17" s="92">
        <f t="shared" si="6"/>
        <v>0</v>
      </c>
      <c r="O17" s="7"/>
      <c r="P17" s="12">
        <v>0</v>
      </c>
      <c r="Q17" s="92">
        <f t="shared" si="3"/>
        <v>0</v>
      </c>
    </row>
    <row r="18" spans="1:17" ht="16.05" customHeight="1" x14ac:dyDescent="0.4">
      <c r="A18" s="10"/>
      <c r="C18" s="7" t="s">
        <v>55</v>
      </c>
      <c r="D18" s="50" t="s">
        <v>11</v>
      </c>
      <c r="E18" s="11">
        <v>0.38</v>
      </c>
      <c r="F18" s="7"/>
      <c r="G18" s="12">
        <v>0</v>
      </c>
      <c r="H18" s="92">
        <f t="shared" si="4"/>
        <v>0</v>
      </c>
      <c r="I18" s="7"/>
      <c r="J18" s="12">
        <v>0</v>
      </c>
      <c r="K18" s="92">
        <f t="shared" si="5"/>
        <v>0</v>
      </c>
      <c r="L18" s="7"/>
      <c r="M18" s="16">
        <v>0</v>
      </c>
      <c r="N18" s="92">
        <f t="shared" si="6"/>
        <v>0</v>
      </c>
      <c r="O18" s="7"/>
      <c r="P18" s="12">
        <v>0</v>
      </c>
      <c r="Q18" s="92">
        <f t="shared" si="3"/>
        <v>0</v>
      </c>
    </row>
    <row r="19" spans="1:17" ht="16.05" customHeight="1" x14ac:dyDescent="0.4">
      <c r="A19" s="10"/>
      <c r="C19" s="7" t="s">
        <v>101</v>
      </c>
      <c r="D19" s="50" t="s">
        <v>11</v>
      </c>
      <c r="E19" s="11">
        <v>0.55000000000000004</v>
      </c>
      <c r="F19" s="7"/>
      <c r="G19" s="12">
        <v>2000</v>
      </c>
      <c r="H19" s="92">
        <f t="shared" si="4"/>
        <v>1100</v>
      </c>
      <c r="I19" s="7"/>
      <c r="J19" s="12">
        <v>0</v>
      </c>
      <c r="K19" s="92">
        <f t="shared" si="5"/>
        <v>0</v>
      </c>
      <c r="L19" s="7"/>
      <c r="M19" s="16">
        <v>0</v>
      </c>
      <c r="N19" s="92">
        <f t="shared" si="6"/>
        <v>0</v>
      </c>
      <c r="O19" s="7"/>
      <c r="P19" s="12">
        <v>100</v>
      </c>
      <c r="Q19" s="92">
        <f t="shared" si="3"/>
        <v>55.000000000000007</v>
      </c>
    </row>
    <row r="20" spans="1:17" ht="16.05" customHeight="1" x14ac:dyDescent="0.4">
      <c r="A20" s="10"/>
      <c r="B20" s="7" t="s">
        <v>77</v>
      </c>
      <c r="C20" s="7"/>
      <c r="D20" s="50"/>
      <c r="E20" s="46"/>
      <c r="F20" s="7"/>
      <c r="G20" s="93"/>
      <c r="H20" s="92"/>
      <c r="I20" s="7"/>
      <c r="J20" s="93"/>
      <c r="K20" s="92"/>
      <c r="L20" s="7"/>
      <c r="M20" s="94"/>
      <c r="N20" s="92"/>
      <c r="O20" s="7"/>
      <c r="P20" s="93"/>
      <c r="Q20" s="92"/>
    </row>
    <row r="21" spans="1:17" ht="16.05" customHeight="1" x14ac:dyDescent="0.4">
      <c r="A21" s="10"/>
      <c r="C21" s="7" t="s">
        <v>56</v>
      </c>
      <c r="D21" s="50" t="s">
        <v>11</v>
      </c>
      <c r="E21" s="11">
        <v>5.5</v>
      </c>
      <c r="F21" s="7"/>
      <c r="G21" s="12">
        <v>0</v>
      </c>
      <c r="H21" s="92">
        <f t="shared" si="4"/>
        <v>0</v>
      </c>
      <c r="I21" s="7"/>
      <c r="J21" s="12">
        <v>0</v>
      </c>
      <c r="K21" s="92">
        <f t="shared" si="5"/>
        <v>0</v>
      </c>
      <c r="L21" s="7"/>
      <c r="M21" s="16">
        <v>0</v>
      </c>
      <c r="N21" s="92">
        <f t="shared" si="6"/>
        <v>0</v>
      </c>
      <c r="O21" s="7"/>
      <c r="P21" s="12">
        <v>3</v>
      </c>
      <c r="Q21" s="92">
        <f t="shared" si="3"/>
        <v>16.5</v>
      </c>
    </row>
    <row r="22" spans="1:17" ht="16.05" customHeight="1" x14ac:dyDescent="0.4">
      <c r="A22" s="10"/>
      <c r="C22" s="7" t="s">
        <v>102</v>
      </c>
      <c r="D22" s="50" t="s">
        <v>51</v>
      </c>
      <c r="E22" s="11">
        <v>2.81</v>
      </c>
      <c r="F22" s="7"/>
      <c r="G22" s="12">
        <v>0</v>
      </c>
      <c r="H22" s="92">
        <f t="shared" si="4"/>
        <v>0</v>
      </c>
      <c r="I22" s="7"/>
      <c r="J22" s="12">
        <v>0</v>
      </c>
      <c r="K22" s="92">
        <f t="shared" si="5"/>
        <v>0</v>
      </c>
      <c r="L22" s="7"/>
      <c r="M22" s="16">
        <v>0</v>
      </c>
      <c r="N22" s="92">
        <f t="shared" si="6"/>
        <v>0</v>
      </c>
      <c r="O22" s="7"/>
      <c r="P22" s="12">
        <v>6</v>
      </c>
      <c r="Q22" s="92">
        <f t="shared" si="3"/>
        <v>16.86</v>
      </c>
    </row>
    <row r="23" spans="1:17" ht="16.05" customHeight="1" x14ac:dyDescent="0.4">
      <c r="A23" s="10"/>
      <c r="C23" s="7" t="s">
        <v>57</v>
      </c>
      <c r="D23" s="50" t="s">
        <v>50</v>
      </c>
      <c r="E23" s="11">
        <v>24.99</v>
      </c>
      <c r="F23" s="7"/>
      <c r="G23" s="12">
        <v>0</v>
      </c>
      <c r="H23" s="92">
        <f t="shared" si="4"/>
        <v>0</v>
      </c>
      <c r="I23" s="7"/>
      <c r="J23" s="12">
        <v>0</v>
      </c>
      <c r="K23" s="92">
        <f t="shared" si="5"/>
        <v>0</v>
      </c>
      <c r="L23" s="7"/>
      <c r="M23" s="16">
        <v>5</v>
      </c>
      <c r="N23" s="92">
        <f t="shared" si="6"/>
        <v>124.94999999999999</v>
      </c>
      <c r="O23" s="7"/>
      <c r="P23" s="12">
        <v>5</v>
      </c>
      <c r="Q23" s="92">
        <f t="shared" si="3"/>
        <v>124.94999999999999</v>
      </c>
    </row>
    <row r="24" spans="1:17" ht="16.05" customHeight="1" x14ac:dyDescent="0.4">
      <c r="A24" s="10"/>
      <c r="C24" s="7" t="s">
        <v>58</v>
      </c>
      <c r="D24" s="50" t="s">
        <v>51</v>
      </c>
      <c r="E24" s="11">
        <v>3.67</v>
      </c>
      <c r="F24" s="7"/>
      <c r="G24" s="12">
        <v>0</v>
      </c>
      <c r="H24" s="92">
        <f t="shared" si="4"/>
        <v>0</v>
      </c>
      <c r="I24" s="7"/>
      <c r="J24" s="12">
        <v>0</v>
      </c>
      <c r="K24" s="92">
        <f t="shared" si="5"/>
        <v>0</v>
      </c>
      <c r="L24" s="7"/>
      <c r="M24" s="16">
        <v>0</v>
      </c>
      <c r="N24" s="92">
        <f t="shared" si="6"/>
        <v>0</v>
      </c>
      <c r="O24" s="7"/>
      <c r="P24" s="12">
        <v>40</v>
      </c>
      <c r="Q24" s="92">
        <f t="shared" si="3"/>
        <v>146.80000000000001</v>
      </c>
    </row>
    <row r="25" spans="1:17" ht="16.05" customHeight="1" x14ac:dyDescent="0.4">
      <c r="A25" s="10"/>
      <c r="B25" s="7" t="s">
        <v>78</v>
      </c>
      <c r="C25" s="7"/>
      <c r="D25" s="50"/>
      <c r="E25" s="46"/>
      <c r="F25" s="7"/>
      <c r="G25" s="93"/>
      <c r="H25" s="92"/>
      <c r="I25" s="7"/>
      <c r="J25" s="93"/>
      <c r="K25" s="92"/>
      <c r="L25" s="7"/>
      <c r="M25" s="94"/>
      <c r="N25" s="92"/>
      <c r="O25" s="7"/>
      <c r="P25" s="93"/>
      <c r="Q25" s="92"/>
    </row>
    <row r="26" spans="1:17" ht="16.05" customHeight="1" x14ac:dyDescent="0.4">
      <c r="A26" s="10"/>
      <c r="C26" s="7" t="s">
        <v>59</v>
      </c>
      <c r="D26" s="50" t="s">
        <v>51</v>
      </c>
      <c r="E26" s="11">
        <v>2.73</v>
      </c>
      <c r="F26" s="7"/>
      <c r="G26" s="12">
        <v>0</v>
      </c>
      <c r="H26" s="92">
        <f t="shared" si="4"/>
        <v>0</v>
      </c>
      <c r="I26" s="7"/>
      <c r="J26" s="12">
        <v>5.3</v>
      </c>
      <c r="K26" s="92">
        <f t="shared" si="5"/>
        <v>14.468999999999999</v>
      </c>
      <c r="L26" s="7"/>
      <c r="M26" s="16">
        <v>5.3</v>
      </c>
      <c r="N26" s="92">
        <f t="shared" si="6"/>
        <v>14.468999999999999</v>
      </c>
      <c r="O26" s="7"/>
      <c r="P26" s="12">
        <v>5.3</v>
      </c>
      <c r="Q26" s="92">
        <f t="shared" si="3"/>
        <v>14.468999999999999</v>
      </c>
    </row>
    <row r="27" spans="1:17" ht="16.05" customHeight="1" x14ac:dyDescent="0.4">
      <c r="A27" s="10"/>
      <c r="C27" s="7" t="s">
        <v>60</v>
      </c>
      <c r="D27" s="50" t="s">
        <v>51</v>
      </c>
      <c r="E27" s="11">
        <v>1.01</v>
      </c>
      <c r="F27" s="7"/>
      <c r="G27" s="12">
        <v>0</v>
      </c>
      <c r="H27" s="92">
        <f t="shared" si="4"/>
        <v>0</v>
      </c>
      <c r="I27" s="7"/>
      <c r="J27" s="12">
        <v>8</v>
      </c>
      <c r="K27" s="92">
        <f t="shared" si="5"/>
        <v>8.08</v>
      </c>
      <c r="L27" s="7"/>
      <c r="M27" s="16">
        <v>8</v>
      </c>
      <c r="N27" s="92">
        <f t="shared" si="6"/>
        <v>8.08</v>
      </c>
      <c r="O27" s="7"/>
      <c r="P27" s="12">
        <v>0</v>
      </c>
      <c r="Q27" s="92">
        <f t="shared" si="3"/>
        <v>0</v>
      </c>
    </row>
    <row r="28" spans="1:17" ht="16.05" customHeight="1" x14ac:dyDescent="0.4">
      <c r="A28" s="10"/>
      <c r="C28" s="7" t="s">
        <v>106</v>
      </c>
      <c r="D28" s="50" t="s">
        <v>11</v>
      </c>
      <c r="E28" s="11">
        <v>19.989999999999998</v>
      </c>
      <c r="F28" s="7"/>
      <c r="G28" s="12">
        <v>0</v>
      </c>
      <c r="H28" s="92">
        <f t="shared" si="4"/>
        <v>0</v>
      </c>
      <c r="I28" s="7"/>
      <c r="J28" s="12">
        <v>0</v>
      </c>
      <c r="K28" s="92">
        <f t="shared" si="5"/>
        <v>0</v>
      </c>
      <c r="L28" s="7"/>
      <c r="M28" s="16">
        <v>0</v>
      </c>
      <c r="N28" s="92">
        <f t="shared" si="6"/>
        <v>0</v>
      </c>
      <c r="O28" s="7"/>
      <c r="P28" s="12">
        <v>1.3</v>
      </c>
      <c r="Q28" s="92">
        <f t="shared" si="3"/>
        <v>25.986999999999998</v>
      </c>
    </row>
    <row r="29" spans="1:17" ht="16.05" customHeight="1" x14ac:dyDescent="0.4">
      <c r="A29" s="10"/>
      <c r="C29" s="7" t="s">
        <v>107</v>
      </c>
      <c r="D29" s="50" t="s">
        <v>51</v>
      </c>
      <c r="E29" s="11">
        <v>2.19</v>
      </c>
      <c r="F29" s="7"/>
      <c r="G29" s="12">
        <v>0</v>
      </c>
      <c r="H29" s="92">
        <f t="shared" si="4"/>
        <v>0</v>
      </c>
      <c r="I29" s="7"/>
      <c r="J29" s="12">
        <v>0</v>
      </c>
      <c r="K29" s="92">
        <f t="shared" si="5"/>
        <v>0</v>
      </c>
      <c r="L29" s="7"/>
      <c r="M29" s="16">
        <v>0</v>
      </c>
      <c r="N29" s="92">
        <f t="shared" si="6"/>
        <v>0</v>
      </c>
      <c r="O29" s="7"/>
      <c r="P29" s="12">
        <v>16</v>
      </c>
      <c r="Q29" s="92">
        <f t="shared" si="3"/>
        <v>35.04</v>
      </c>
    </row>
    <row r="30" spans="1:17" ht="16.05" customHeight="1" x14ac:dyDescent="0.4">
      <c r="A30" s="10"/>
      <c r="C30" s="7" t="s">
        <v>108</v>
      </c>
      <c r="D30" s="50" t="s">
        <v>50</v>
      </c>
      <c r="E30" s="11">
        <v>75.98</v>
      </c>
      <c r="F30" s="7"/>
      <c r="G30" s="12">
        <v>0</v>
      </c>
      <c r="H30" s="92">
        <f t="shared" si="4"/>
        <v>0</v>
      </c>
      <c r="I30" s="7"/>
      <c r="J30" s="12">
        <v>0</v>
      </c>
      <c r="K30" s="92">
        <f t="shared" si="5"/>
        <v>0</v>
      </c>
      <c r="L30" s="7"/>
      <c r="M30" s="16">
        <v>0</v>
      </c>
      <c r="N30" s="92">
        <f t="shared" si="6"/>
        <v>0</v>
      </c>
      <c r="O30" s="7"/>
      <c r="P30" s="12">
        <v>0.63</v>
      </c>
      <c r="Q30" s="92">
        <f t="shared" si="3"/>
        <v>47.867400000000004</v>
      </c>
    </row>
    <row r="31" spans="1:17" ht="16.05" customHeight="1" x14ac:dyDescent="0.4">
      <c r="A31" s="10"/>
      <c r="B31" s="7" t="s">
        <v>79</v>
      </c>
      <c r="C31" s="7"/>
      <c r="D31" s="50"/>
      <c r="E31" s="46"/>
      <c r="F31" s="7"/>
      <c r="G31" s="93"/>
      <c r="H31" s="92"/>
      <c r="I31" s="7"/>
      <c r="J31" s="93"/>
      <c r="K31" s="92"/>
      <c r="L31" s="7"/>
      <c r="M31" s="94"/>
      <c r="N31" s="92"/>
      <c r="O31" s="7"/>
      <c r="P31" s="93"/>
      <c r="Q31" s="92"/>
    </row>
    <row r="32" spans="1:17" ht="16.05" customHeight="1" x14ac:dyDescent="0.4">
      <c r="A32" s="10"/>
      <c r="C32" s="7" t="s">
        <v>61</v>
      </c>
      <c r="D32" s="50" t="s">
        <v>11</v>
      </c>
      <c r="E32" s="11">
        <v>19.989999999999998</v>
      </c>
      <c r="F32" s="7"/>
      <c r="G32" s="12">
        <v>0</v>
      </c>
      <c r="H32" s="92">
        <f t="shared" si="4"/>
        <v>0</v>
      </c>
      <c r="I32" s="7"/>
      <c r="J32" s="12">
        <v>4</v>
      </c>
      <c r="K32" s="92">
        <f t="shared" si="5"/>
        <v>79.959999999999994</v>
      </c>
      <c r="L32" s="7"/>
      <c r="M32" s="16">
        <v>8</v>
      </c>
      <c r="N32" s="92">
        <f t="shared" si="6"/>
        <v>159.91999999999999</v>
      </c>
      <c r="O32" s="7"/>
      <c r="P32" s="12">
        <v>8</v>
      </c>
      <c r="Q32" s="92">
        <f t="shared" si="3"/>
        <v>159.91999999999999</v>
      </c>
    </row>
    <row r="33" spans="1:20" ht="16.05" customHeight="1" x14ac:dyDescent="0.4">
      <c r="A33" s="10"/>
      <c r="C33" s="7" t="s">
        <v>62</v>
      </c>
      <c r="D33" s="50" t="s">
        <v>11</v>
      </c>
      <c r="E33" s="11">
        <v>8</v>
      </c>
      <c r="F33" s="7"/>
      <c r="G33" s="12">
        <v>0</v>
      </c>
      <c r="H33" s="92">
        <f t="shared" si="4"/>
        <v>0</v>
      </c>
      <c r="I33" s="7"/>
      <c r="J33" s="12">
        <v>2.2000000000000002</v>
      </c>
      <c r="K33" s="92">
        <f t="shared" si="5"/>
        <v>17.600000000000001</v>
      </c>
      <c r="L33" s="7"/>
      <c r="M33" s="16">
        <v>4.4000000000000004</v>
      </c>
      <c r="N33" s="92">
        <f t="shared" si="6"/>
        <v>35.200000000000003</v>
      </c>
      <c r="O33" s="7"/>
      <c r="P33" s="12">
        <v>2.2000000000000002</v>
      </c>
      <c r="Q33" s="92">
        <f t="shared" si="3"/>
        <v>17.600000000000001</v>
      </c>
    </row>
    <row r="34" spans="1:20" ht="16.05" customHeight="1" x14ac:dyDescent="0.4">
      <c r="A34" s="10"/>
      <c r="C34" s="7" t="s">
        <v>103</v>
      </c>
      <c r="D34" s="50" t="s">
        <v>11</v>
      </c>
      <c r="E34" s="11">
        <v>45</v>
      </c>
      <c r="F34" s="7"/>
      <c r="G34" s="12">
        <v>0</v>
      </c>
      <c r="H34" s="92">
        <f t="shared" si="4"/>
        <v>0</v>
      </c>
      <c r="I34" s="7"/>
      <c r="J34" s="12">
        <v>2.5</v>
      </c>
      <c r="K34" s="92">
        <f t="shared" si="5"/>
        <v>112.5</v>
      </c>
      <c r="L34" s="7"/>
      <c r="M34" s="16">
        <v>0</v>
      </c>
      <c r="N34" s="92">
        <f t="shared" si="6"/>
        <v>0</v>
      </c>
      <c r="O34" s="7"/>
      <c r="P34" s="12">
        <v>0</v>
      </c>
      <c r="Q34" s="92">
        <f t="shared" si="3"/>
        <v>0</v>
      </c>
    </row>
    <row r="35" spans="1:20" ht="16.05" customHeight="1" x14ac:dyDescent="0.4">
      <c r="A35" s="10"/>
      <c r="C35" s="7" t="s">
        <v>104</v>
      </c>
      <c r="D35" s="50" t="s">
        <v>51</v>
      </c>
      <c r="E35" s="11">
        <v>0.97</v>
      </c>
      <c r="F35" s="7"/>
      <c r="G35" s="12">
        <v>0</v>
      </c>
      <c r="H35" s="92">
        <f t="shared" si="4"/>
        <v>0</v>
      </c>
      <c r="I35" s="7"/>
      <c r="J35" s="12">
        <v>0</v>
      </c>
      <c r="K35" s="92">
        <f t="shared" si="5"/>
        <v>0</v>
      </c>
      <c r="L35" s="7"/>
      <c r="M35" s="16">
        <v>32</v>
      </c>
      <c r="N35" s="92">
        <f t="shared" si="6"/>
        <v>31.04</v>
      </c>
      <c r="O35" s="7"/>
      <c r="P35" s="12">
        <v>0</v>
      </c>
      <c r="Q35" s="92">
        <f t="shared" si="3"/>
        <v>0</v>
      </c>
    </row>
    <row r="36" spans="1:20" ht="16.05" customHeight="1" x14ac:dyDescent="0.4">
      <c r="A36" s="10"/>
      <c r="C36" s="7" t="s">
        <v>105</v>
      </c>
      <c r="D36" s="50" t="s">
        <v>11</v>
      </c>
      <c r="E36" s="11">
        <v>61.99</v>
      </c>
      <c r="F36" s="7"/>
      <c r="G36" s="12">
        <v>0</v>
      </c>
      <c r="H36" s="92">
        <f t="shared" si="4"/>
        <v>0</v>
      </c>
      <c r="I36" s="7"/>
      <c r="J36" s="12">
        <v>0</v>
      </c>
      <c r="K36" s="92">
        <f t="shared" si="5"/>
        <v>0</v>
      </c>
      <c r="L36" s="7"/>
      <c r="M36" s="16">
        <v>0</v>
      </c>
      <c r="N36" s="92">
        <f t="shared" si="6"/>
        <v>0</v>
      </c>
      <c r="O36" s="7"/>
      <c r="P36" s="12">
        <v>2</v>
      </c>
      <c r="Q36" s="92">
        <f t="shared" si="3"/>
        <v>123.98</v>
      </c>
    </row>
    <row r="37" spans="1:20" ht="16.05" customHeight="1" x14ac:dyDescent="0.4">
      <c r="A37" s="10"/>
      <c r="C37" s="7" t="s">
        <v>63</v>
      </c>
      <c r="D37" s="50" t="s">
        <v>50</v>
      </c>
      <c r="E37" s="11">
        <v>76.06</v>
      </c>
      <c r="F37" s="7"/>
      <c r="G37" s="12">
        <v>0</v>
      </c>
      <c r="H37" s="92">
        <f t="shared" si="4"/>
        <v>0</v>
      </c>
      <c r="I37" s="7"/>
      <c r="J37" s="12">
        <v>0</v>
      </c>
      <c r="K37" s="92">
        <f t="shared" si="5"/>
        <v>0</v>
      </c>
      <c r="L37" s="7"/>
      <c r="M37" s="16">
        <v>0</v>
      </c>
      <c r="N37" s="92">
        <f t="shared" si="6"/>
        <v>0</v>
      </c>
      <c r="O37" s="7"/>
      <c r="P37" s="12">
        <v>0.5</v>
      </c>
      <c r="Q37" s="92">
        <f t="shared" si="3"/>
        <v>38.03</v>
      </c>
    </row>
    <row r="38" spans="1:20" ht="16.05" customHeight="1" x14ac:dyDescent="0.4">
      <c r="A38" s="10"/>
      <c r="B38" s="7" t="s">
        <v>80</v>
      </c>
      <c r="C38" s="7"/>
      <c r="D38" s="50" t="s">
        <v>12</v>
      </c>
      <c r="E38" s="11">
        <v>0.06</v>
      </c>
      <c r="F38" s="7"/>
      <c r="G38" s="12">
        <v>0</v>
      </c>
      <c r="H38" s="92">
        <f>G38*E38</f>
        <v>0</v>
      </c>
      <c r="I38" s="7"/>
      <c r="J38" s="12">
        <v>3550</v>
      </c>
      <c r="K38" s="92">
        <f>J38*E38</f>
        <v>213</v>
      </c>
      <c r="L38" s="7"/>
      <c r="M38" s="16">
        <v>0</v>
      </c>
      <c r="N38" s="92">
        <f>M38*E38</f>
        <v>0</v>
      </c>
      <c r="O38" s="7"/>
      <c r="P38" s="12">
        <v>0</v>
      </c>
      <c r="Q38" s="92">
        <f>P38*E38</f>
        <v>0</v>
      </c>
    </row>
    <row r="39" spans="1:20" ht="16.05" customHeight="1" x14ac:dyDescent="0.4">
      <c r="A39" s="10"/>
      <c r="B39" s="7" t="s">
        <v>81</v>
      </c>
      <c r="C39" s="7"/>
      <c r="D39" s="50" t="s">
        <v>43</v>
      </c>
      <c r="E39" s="11">
        <v>41.33</v>
      </c>
      <c r="F39" s="7"/>
      <c r="G39" s="12">
        <v>0</v>
      </c>
      <c r="H39" s="92">
        <f>G39*$E39</f>
        <v>0</v>
      </c>
      <c r="I39" s="7"/>
      <c r="J39" s="12">
        <v>6</v>
      </c>
      <c r="K39" s="92">
        <f>J39*$E39</f>
        <v>247.98</v>
      </c>
      <c r="L39" s="7"/>
      <c r="M39" s="16">
        <v>6</v>
      </c>
      <c r="N39" s="92">
        <f>M39*$E39</f>
        <v>247.98</v>
      </c>
      <c r="O39" s="7"/>
      <c r="P39" s="12">
        <v>6</v>
      </c>
      <c r="Q39" s="92">
        <f>P39*$E39</f>
        <v>247.98</v>
      </c>
    </row>
    <row r="40" spans="1:20" ht="16.05" customHeight="1" x14ac:dyDescent="0.4">
      <c r="A40" s="10"/>
      <c r="B40" s="7" t="s">
        <v>118</v>
      </c>
      <c r="C40" s="7"/>
      <c r="D40" s="50" t="s">
        <v>43</v>
      </c>
      <c r="E40" s="11">
        <v>100</v>
      </c>
      <c r="F40" s="7"/>
      <c r="G40" s="12">
        <v>0</v>
      </c>
      <c r="H40" s="92">
        <f>G40*$E40</f>
        <v>0</v>
      </c>
      <c r="I40" s="7"/>
      <c r="J40" s="12">
        <v>0</v>
      </c>
      <c r="K40" s="92">
        <f>J40*$E40</f>
        <v>0</v>
      </c>
      <c r="L40" s="7"/>
      <c r="M40" s="16">
        <v>0</v>
      </c>
      <c r="N40" s="92">
        <f>M40*$E40</f>
        <v>0</v>
      </c>
      <c r="O40" s="7"/>
      <c r="P40" s="12">
        <v>1</v>
      </c>
      <c r="Q40" s="92">
        <f>P40*$E40</f>
        <v>100</v>
      </c>
    </row>
    <row r="41" spans="1:20" ht="16.05" customHeight="1" x14ac:dyDescent="0.4">
      <c r="A41" s="10"/>
      <c r="B41" s="7" t="s">
        <v>82</v>
      </c>
      <c r="C41" s="7"/>
      <c r="D41" s="50" t="s">
        <v>8</v>
      </c>
      <c r="E41" s="11">
        <v>30</v>
      </c>
      <c r="F41" s="7"/>
      <c r="G41" s="12">
        <v>0</v>
      </c>
      <c r="H41" s="92">
        <f>G41*$E41</f>
        <v>0</v>
      </c>
      <c r="I41" s="7"/>
      <c r="J41" s="12">
        <v>0</v>
      </c>
      <c r="K41" s="92">
        <f>J41*$E41</f>
        <v>0</v>
      </c>
      <c r="L41" s="7"/>
      <c r="M41" s="16">
        <v>0</v>
      </c>
      <c r="N41" s="92">
        <f>M41*$E41</f>
        <v>0</v>
      </c>
      <c r="O41" s="7"/>
      <c r="P41" s="12">
        <v>1</v>
      </c>
      <c r="Q41" s="92">
        <f>P41*$E41</f>
        <v>30</v>
      </c>
    </row>
    <row r="42" spans="1:20" ht="16.05" customHeight="1" x14ac:dyDescent="0.4">
      <c r="A42" s="10"/>
      <c r="B42" s="7" t="s">
        <v>52</v>
      </c>
      <c r="C42" s="7"/>
      <c r="D42" s="50"/>
      <c r="E42" s="73"/>
      <c r="F42" s="7"/>
      <c r="G42" s="93"/>
      <c r="H42" s="92"/>
      <c r="I42" s="7"/>
      <c r="J42" s="93"/>
      <c r="K42" s="92"/>
      <c r="L42" s="7"/>
      <c r="M42" s="94"/>
      <c r="N42" s="92"/>
      <c r="O42" s="7"/>
      <c r="P42" s="93"/>
      <c r="Q42" s="92"/>
    </row>
    <row r="43" spans="1:20" ht="16.05" customHeight="1" x14ac:dyDescent="0.4">
      <c r="A43" s="10"/>
      <c r="B43" s="7"/>
      <c r="C43" s="7" t="s">
        <v>64</v>
      </c>
      <c r="D43" s="50" t="s">
        <v>45</v>
      </c>
      <c r="E43" s="11">
        <v>15.71</v>
      </c>
      <c r="F43" s="7"/>
      <c r="G43" s="12">
        <v>7</v>
      </c>
      <c r="H43" s="92">
        <f>G43*E43</f>
        <v>109.97</v>
      </c>
      <c r="I43" s="7"/>
      <c r="J43" s="12">
        <v>56</v>
      </c>
      <c r="K43" s="92">
        <f>J43*E43</f>
        <v>879.76</v>
      </c>
      <c r="L43" s="7"/>
      <c r="M43" s="16">
        <v>17.5</v>
      </c>
      <c r="N43" s="92">
        <f>M43*E43</f>
        <v>274.92500000000001</v>
      </c>
      <c r="O43" s="7"/>
      <c r="P43" s="12">
        <v>20.5</v>
      </c>
      <c r="Q43" s="92">
        <f>P43*E43</f>
        <v>322.05500000000001</v>
      </c>
      <c r="T43" s="47"/>
    </row>
    <row r="44" spans="1:20" ht="16.05" customHeight="1" x14ac:dyDescent="0.4">
      <c r="A44" s="10"/>
      <c r="B44" s="7"/>
      <c r="C44" s="7" t="s">
        <v>65</v>
      </c>
      <c r="D44" s="50" t="s">
        <v>45</v>
      </c>
      <c r="E44" s="11">
        <v>15.71</v>
      </c>
      <c r="F44" s="7"/>
      <c r="G44" s="12">
        <v>0</v>
      </c>
      <c r="H44" s="92">
        <f t="shared" ref="H44:H48" si="7">G44*E44</f>
        <v>0</v>
      </c>
      <c r="I44" s="7"/>
      <c r="J44" s="12">
        <v>0</v>
      </c>
      <c r="K44" s="92">
        <f t="shared" ref="K44:K48" si="8">J44*E44</f>
        <v>0</v>
      </c>
      <c r="L44" s="7"/>
      <c r="M44" s="16">
        <v>0</v>
      </c>
      <c r="N44" s="92">
        <f t="shared" ref="N44:N48" si="9">M44*E44</f>
        <v>0</v>
      </c>
      <c r="O44" s="7"/>
      <c r="P44" s="12">
        <v>254.1</v>
      </c>
      <c r="Q44" s="92">
        <f t="shared" ref="Q44:Q48" si="10">P44*E44</f>
        <v>3991.9110000000001</v>
      </c>
      <c r="T44" s="47"/>
    </row>
    <row r="45" spans="1:20" ht="16.05" customHeight="1" x14ac:dyDescent="0.4">
      <c r="A45" s="10"/>
      <c r="B45" s="7"/>
      <c r="C45" s="7" t="s">
        <v>66</v>
      </c>
      <c r="D45" s="50" t="s">
        <v>45</v>
      </c>
      <c r="E45" s="11">
        <v>15.71</v>
      </c>
      <c r="F45" s="7"/>
      <c r="G45" s="12">
        <v>0</v>
      </c>
      <c r="H45" s="92">
        <f t="shared" si="7"/>
        <v>0</v>
      </c>
      <c r="I45" s="7"/>
      <c r="J45" s="12">
        <v>0</v>
      </c>
      <c r="K45" s="92">
        <f t="shared" si="8"/>
        <v>0</v>
      </c>
      <c r="L45" s="7"/>
      <c r="M45" s="16">
        <v>0</v>
      </c>
      <c r="N45" s="92">
        <f t="shared" si="9"/>
        <v>0</v>
      </c>
      <c r="O45" s="7"/>
      <c r="P45" s="12">
        <v>0</v>
      </c>
      <c r="Q45" s="92">
        <f t="shared" si="10"/>
        <v>0</v>
      </c>
      <c r="T45" s="47"/>
    </row>
    <row r="46" spans="1:20" ht="16.05" customHeight="1" x14ac:dyDescent="0.4">
      <c r="A46" s="10"/>
      <c r="B46" s="7" t="s">
        <v>53</v>
      </c>
      <c r="C46" s="7"/>
      <c r="D46" s="50"/>
      <c r="E46" s="73"/>
      <c r="F46" s="7"/>
      <c r="G46" s="93"/>
      <c r="H46" s="92"/>
      <c r="I46" s="7"/>
      <c r="J46" s="93"/>
      <c r="K46" s="92"/>
      <c r="L46" s="7"/>
      <c r="M46" s="94"/>
      <c r="N46" s="92"/>
      <c r="O46" s="7"/>
      <c r="P46" s="93"/>
      <c r="Q46" s="92"/>
    </row>
    <row r="47" spans="1:20" ht="16.05" customHeight="1" x14ac:dyDescent="0.4">
      <c r="A47" s="10"/>
      <c r="B47" s="7"/>
      <c r="C47" s="7" t="s">
        <v>67</v>
      </c>
      <c r="D47" s="50" t="s">
        <v>8</v>
      </c>
      <c r="E47" s="11">
        <v>0.39</v>
      </c>
      <c r="F47" s="7"/>
      <c r="G47" s="12">
        <v>0</v>
      </c>
      <c r="H47" s="92">
        <f t="shared" si="7"/>
        <v>0</v>
      </c>
      <c r="I47" s="7"/>
      <c r="J47" s="12">
        <v>0</v>
      </c>
      <c r="K47" s="92">
        <f t="shared" si="8"/>
        <v>0</v>
      </c>
      <c r="L47" s="7"/>
      <c r="M47" s="16">
        <v>0</v>
      </c>
      <c r="N47" s="92">
        <f t="shared" si="9"/>
        <v>0</v>
      </c>
      <c r="O47" s="7"/>
      <c r="P47" s="12">
        <v>6352.5</v>
      </c>
      <c r="Q47" s="92">
        <f t="shared" si="10"/>
        <v>2477.4749999999999</v>
      </c>
    </row>
    <row r="48" spans="1:20" ht="16.05" customHeight="1" x14ac:dyDescent="0.4">
      <c r="A48" s="10"/>
      <c r="B48" s="7"/>
      <c r="C48" s="7" t="s">
        <v>68</v>
      </c>
      <c r="D48" s="50" t="s">
        <v>8</v>
      </c>
      <c r="E48" s="11">
        <v>1.35</v>
      </c>
      <c r="F48" s="7"/>
      <c r="G48" s="12">
        <v>0</v>
      </c>
      <c r="H48" s="92">
        <f t="shared" si="7"/>
        <v>0</v>
      </c>
      <c r="I48" s="7"/>
      <c r="J48" s="12">
        <v>0</v>
      </c>
      <c r="K48" s="92">
        <f t="shared" si="8"/>
        <v>0</v>
      </c>
      <c r="L48" s="7"/>
      <c r="M48" s="16">
        <v>0</v>
      </c>
      <c r="N48" s="92">
        <f t="shared" si="9"/>
        <v>0</v>
      </c>
      <c r="O48" s="7"/>
      <c r="P48" s="12">
        <v>794.0625</v>
      </c>
      <c r="Q48" s="92">
        <f t="shared" si="10"/>
        <v>1071.984375</v>
      </c>
    </row>
    <row r="49" spans="1:17" ht="16.05" customHeight="1" x14ac:dyDescent="0.4">
      <c r="A49" s="10"/>
      <c r="B49" s="7" t="s">
        <v>69</v>
      </c>
      <c r="C49" s="7"/>
      <c r="D49" s="95" t="s">
        <v>41</v>
      </c>
      <c r="E49" s="13">
        <v>0.1</v>
      </c>
      <c r="F49" s="96"/>
      <c r="G49" s="93">
        <f>H6</f>
        <v>0</v>
      </c>
      <c r="H49" s="92">
        <f>G49*E49</f>
        <v>0</v>
      </c>
      <c r="I49" s="7"/>
      <c r="J49" s="93">
        <f>K6</f>
        <v>0</v>
      </c>
      <c r="K49" s="92">
        <f>J49*E49</f>
        <v>0</v>
      </c>
      <c r="L49" s="7"/>
      <c r="M49" s="94">
        <f>N6</f>
        <v>0</v>
      </c>
      <c r="N49" s="92">
        <f>M49*E49</f>
        <v>0</v>
      </c>
      <c r="O49" s="7"/>
      <c r="P49" s="93">
        <f>Q6</f>
        <v>24901.8</v>
      </c>
      <c r="Q49" s="92">
        <f>P49*$E49</f>
        <v>2490.1800000000003</v>
      </c>
    </row>
    <row r="50" spans="1:17" ht="16.05" customHeight="1" x14ac:dyDescent="0.4">
      <c r="A50" s="10"/>
      <c r="B50" s="7" t="s">
        <v>84</v>
      </c>
      <c r="C50" s="7"/>
      <c r="D50" s="50" t="s">
        <v>43</v>
      </c>
      <c r="E50" s="11">
        <v>375</v>
      </c>
      <c r="G50" s="12">
        <v>0</v>
      </c>
      <c r="H50" s="92">
        <f>G50*E50</f>
        <v>0</v>
      </c>
      <c r="J50" s="12">
        <v>0</v>
      </c>
      <c r="K50" s="92">
        <f>J50*E50</f>
        <v>0</v>
      </c>
      <c r="L50" s="7"/>
      <c r="M50" s="16">
        <v>0</v>
      </c>
      <c r="N50" s="92">
        <f>M50*E50</f>
        <v>0</v>
      </c>
      <c r="O50" s="7"/>
      <c r="P50" s="12">
        <v>1</v>
      </c>
      <c r="Q50" s="92">
        <f>P50*$E50</f>
        <v>375</v>
      </c>
    </row>
    <row r="51" spans="1:17" ht="16.05" customHeight="1" x14ac:dyDescent="0.4">
      <c r="A51" s="10"/>
      <c r="B51" s="7" t="s">
        <v>90</v>
      </c>
      <c r="C51" s="7"/>
      <c r="D51" s="50"/>
      <c r="E51" s="74"/>
      <c r="F51" s="7"/>
      <c r="G51" s="93"/>
      <c r="H51" s="92"/>
      <c r="I51" s="7"/>
      <c r="J51" s="93"/>
      <c r="K51" s="92"/>
      <c r="L51" s="7"/>
      <c r="M51" s="94"/>
      <c r="N51" s="92"/>
      <c r="O51" s="7"/>
      <c r="P51" s="93"/>
      <c r="Q51" s="92"/>
    </row>
    <row r="52" spans="1:17" ht="16.05" customHeight="1" x14ac:dyDescent="0.4">
      <c r="A52" s="10"/>
      <c r="B52" s="7"/>
      <c r="C52" s="7" t="s">
        <v>85</v>
      </c>
      <c r="D52" s="50" t="s">
        <v>89</v>
      </c>
      <c r="E52" s="11">
        <v>21.020100920931956</v>
      </c>
      <c r="F52" s="7"/>
      <c r="G52" s="12">
        <v>0.97</v>
      </c>
      <c r="H52" s="92">
        <f t="shared" ref="H52:H64" si="11">G52*E52</f>
        <v>20.389497893303997</v>
      </c>
      <c r="I52" s="7"/>
      <c r="J52" s="12">
        <v>0</v>
      </c>
      <c r="K52" s="92">
        <f t="shared" ref="K52:K64" si="12">J52*E52</f>
        <v>0</v>
      </c>
      <c r="L52" s="7"/>
      <c r="M52" s="12">
        <v>0</v>
      </c>
      <c r="N52" s="92">
        <f t="shared" ref="N52:N64" si="13">M52*E52</f>
        <v>0</v>
      </c>
      <c r="O52" s="7"/>
      <c r="P52" s="12">
        <v>0</v>
      </c>
      <c r="Q52" s="92">
        <f t="shared" ref="Q52:Q64" si="14">P52*$E52</f>
        <v>0</v>
      </c>
    </row>
    <row r="53" spans="1:17" ht="16.05" customHeight="1" x14ac:dyDescent="0.4">
      <c r="A53" s="10"/>
      <c r="B53" s="7"/>
      <c r="C53" s="7" t="s">
        <v>110</v>
      </c>
      <c r="D53" s="50" t="s">
        <v>89</v>
      </c>
      <c r="E53" s="11">
        <v>6.58</v>
      </c>
      <c r="F53" s="7"/>
      <c r="G53" s="12">
        <v>1</v>
      </c>
      <c r="H53" s="92">
        <f t="shared" si="11"/>
        <v>6.58</v>
      </c>
      <c r="I53" s="7"/>
      <c r="J53" s="12">
        <v>0</v>
      </c>
      <c r="K53" s="92">
        <f t="shared" si="12"/>
        <v>0</v>
      </c>
      <c r="L53" s="7"/>
      <c r="M53" s="12">
        <v>0</v>
      </c>
      <c r="N53" s="92">
        <f t="shared" si="13"/>
        <v>0</v>
      </c>
      <c r="O53" s="7"/>
      <c r="P53" s="12">
        <v>0</v>
      </c>
      <c r="Q53" s="92">
        <f t="shared" si="14"/>
        <v>0</v>
      </c>
    </row>
    <row r="54" spans="1:17" ht="16.05" customHeight="1" x14ac:dyDescent="0.4">
      <c r="A54" s="10"/>
      <c r="B54" s="7"/>
      <c r="C54" s="7" t="s">
        <v>111</v>
      </c>
      <c r="D54" s="50" t="s">
        <v>89</v>
      </c>
      <c r="E54" s="11">
        <v>15.69730865959397</v>
      </c>
      <c r="F54" s="7"/>
      <c r="G54" s="12">
        <v>5</v>
      </c>
      <c r="H54" s="92">
        <f t="shared" si="11"/>
        <v>78.486543297969845</v>
      </c>
      <c r="I54" s="7"/>
      <c r="J54" s="12">
        <v>0</v>
      </c>
      <c r="K54" s="92">
        <f t="shared" si="12"/>
        <v>0</v>
      </c>
      <c r="L54" s="7"/>
      <c r="M54" s="12">
        <v>0</v>
      </c>
      <c r="N54" s="92">
        <f t="shared" si="13"/>
        <v>0</v>
      </c>
      <c r="O54" s="7"/>
      <c r="P54" s="12">
        <v>0</v>
      </c>
      <c r="Q54" s="92">
        <f t="shared" si="14"/>
        <v>0</v>
      </c>
    </row>
    <row r="55" spans="1:17" ht="16.05" customHeight="1" x14ac:dyDescent="0.4">
      <c r="A55" s="10"/>
      <c r="B55" s="7"/>
      <c r="C55" s="7" t="s">
        <v>112</v>
      </c>
      <c r="D55" s="50" t="s">
        <v>89</v>
      </c>
      <c r="E55" s="11">
        <v>10.88</v>
      </c>
      <c r="F55" s="7"/>
      <c r="G55" s="12">
        <v>1</v>
      </c>
      <c r="H55" s="92">
        <f t="shared" si="11"/>
        <v>10.88</v>
      </c>
      <c r="I55" s="7"/>
      <c r="J55" s="12">
        <v>0</v>
      </c>
      <c r="K55" s="92">
        <f t="shared" si="12"/>
        <v>0</v>
      </c>
      <c r="L55" s="7"/>
      <c r="M55" s="12">
        <v>0</v>
      </c>
      <c r="N55" s="92">
        <f t="shared" si="13"/>
        <v>0</v>
      </c>
      <c r="O55" s="7"/>
      <c r="P55" s="12">
        <v>0</v>
      </c>
      <c r="Q55" s="92">
        <f t="shared" si="14"/>
        <v>0</v>
      </c>
    </row>
    <row r="56" spans="1:17" ht="16.05" customHeight="1" x14ac:dyDescent="0.4">
      <c r="A56" s="10"/>
      <c r="B56" s="7"/>
      <c r="C56" s="7" t="s">
        <v>113</v>
      </c>
      <c r="D56" s="50" t="s">
        <v>89</v>
      </c>
      <c r="E56" s="11">
        <v>21.93</v>
      </c>
      <c r="F56" s="7"/>
      <c r="G56" s="12">
        <v>2</v>
      </c>
      <c r="H56" s="92">
        <f>G56*E56</f>
        <v>43.86</v>
      </c>
      <c r="I56" s="7"/>
      <c r="J56" s="12">
        <v>0</v>
      </c>
      <c r="K56" s="92">
        <f>J56*E56</f>
        <v>0</v>
      </c>
      <c r="L56" s="7"/>
      <c r="M56" s="12">
        <v>0</v>
      </c>
      <c r="N56" s="92">
        <f>M56*E56</f>
        <v>0</v>
      </c>
      <c r="O56" s="7"/>
      <c r="P56" s="12">
        <v>0</v>
      </c>
      <c r="Q56" s="92">
        <f>P56*$E56</f>
        <v>0</v>
      </c>
    </row>
    <row r="57" spans="1:17" ht="16.05" customHeight="1" x14ac:dyDescent="0.4">
      <c r="A57" s="10"/>
      <c r="B57" s="7"/>
      <c r="C57" s="7" t="s">
        <v>86</v>
      </c>
      <c r="D57" s="50" t="s">
        <v>89</v>
      </c>
      <c r="E57" s="11">
        <v>17.336038684496639</v>
      </c>
      <c r="F57" s="7"/>
      <c r="G57" s="12">
        <v>1</v>
      </c>
      <c r="H57" s="92">
        <f t="shared" si="11"/>
        <v>17.336038684496639</v>
      </c>
      <c r="I57" s="7"/>
      <c r="J57" s="12">
        <v>0</v>
      </c>
      <c r="K57" s="92">
        <f t="shared" si="12"/>
        <v>0</v>
      </c>
      <c r="L57" s="7"/>
      <c r="M57" s="12">
        <v>0</v>
      </c>
      <c r="N57" s="92">
        <f t="shared" si="13"/>
        <v>0</v>
      </c>
      <c r="O57" s="7"/>
      <c r="P57" s="12">
        <v>0</v>
      </c>
      <c r="Q57" s="92">
        <f t="shared" si="14"/>
        <v>0</v>
      </c>
    </row>
    <row r="58" spans="1:17" ht="16.05" customHeight="1" x14ac:dyDescent="0.4">
      <c r="A58" s="10"/>
      <c r="B58" s="7"/>
      <c r="C58" s="7" t="s">
        <v>87</v>
      </c>
      <c r="D58" s="50" t="s">
        <v>89</v>
      </c>
      <c r="E58" s="11">
        <v>16.005340619162144</v>
      </c>
      <c r="F58" s="7"/>
      <c r="G58" s="12">
        <v>2</v>
      </c>
      <c r="H58" s="92">
        <f t="shared" si="11"/>
        <v>32.010681238324288</v>
      </c>
      <c r="I58" s="7"/>
      <c r="J58" s="12">
        <v>1</v>
      </c>
      <c r="K58" s="92">
        <f t="shared" si="12"/>
        <v>16.005340619162144</v>
      </c>
      <c r="L58" s="7"/>
      <c r="M58" s="12">
        <v>0</v>
      </c>
      <c r="N58" s="92">
        <f t="shared" si="13"/>
        <v>0</v>
      </c>
      <c r="O58" s="7"/>
      <c r="P58" s="12">
        <v>0</v>
      </c>
      <c r="Q58" s="92">
        <f t="shared" si="14"/>
        <v>0</v>
      </c>
    </row>
    <row r="59" spans="1:17" ht="16.05" customHeight="1" x14ac:dyDescent="0.4">
      <c r="A59" s="10"/>
      <c r="B59" s="7"/>
      <c r="C59" s="7" t="s">
        <v>114</v>
      </c>
      <c r="D59" s="50" t="s">
        <v>89</v>
      </c>
      <c r="E59" s="11">
        <v>17.25</v>
      </c>
      <c r="F59" s="7"/>
      <c r="G59" s="12">
        <v>0</v>
      </c>
      <c r="H59" s="92">
        <f t="shared" si="11"/>
        <v>0</v>
      </c>
      <c r="I59" s="7"/>
      <c r="J59" s="12">
        <v>5</v>
      </c>
      <c r="K59" s="92">
        <f t="shared" si="12"/>
        <v>86.25</v>
      </c>
      <c r="L59" s="7"/>
      <c r="M59" s="12">
        <v>7</v>
      </c>
      <c r="N59" s="92">
        <f t="shared" si="13"/>
        <v>120.75</v>
      </c>
      <c r="O59" s="7"/>
      <c r="P59" s="12">
        <v>8</v>
      </c>
      <c r="Q59" s="92">
        <f t="shared" si="14"/>
        <v>138</v>
      </c>
    </row>
    <row r="60" spans="1:17" ht="16.05" customHeight="1" x14ac:dyDescent="0.4">
      <c r="A60" s="10"/>
      <c r="B60" s="7"/>
      <c r="C60" s="7" t="s">
        <v>88</v>
      </c>
      <c r="D60" s="50" t="s">
        <v>89</v>
      </c>
      <c r="E60" s="11">
        <v>28.338940280271689</v>
      </c>
      <c r="F60" s="7"/>
      <c r="G60" s="12">
        <v>0</v>
      </c>
      <c r="H60" s="92">
        <f t="shared" si="11"/>
        <v>0</v>
      </c>
      <c r="I60" s="7"/>
      <c r="J60" s="12">
        <v>1</v>
      </c>
      <c r="K60" s="92">
        <f t="shared" si="12"/>
        <v>28.338940280271689</v>
      </c>
      <c r="L60" s="7"/>
      <c r="M60" s="12">
        <v>0</v>
      </c>
      <c r="N60" s="92">
        <f t="shared" si="13"/>
        <v>0</v>
      </c>
      <c r="O60" s="7"/>
      <c r="P60" s="12">
        <v>0</v>
      </c>
      <c r="Q60" s="92">
        <f t="shared" si="14"/>
        <v>0</v>
      </c>
    </row>
    <row r="61" spans="1:17" ht="16.05" customHeight="1" x14ac:dyDescent="0.4">
      <c r="A61" s="10"/>
      <c r="B61" s="7"/>
      <c r="C61" s="7" t="s">
        <v>115</v>
      </c>
      <c r="D61" s="50" t="s">
        <v>89</v>
      </c>
      <c r="E61" s="11">
        <v>34.340000000000003</v>
      </c>
      <c r="F61" s="7"/>
      <c r="G61" s="12">
        <v>0</v>
      </c>
      <c r="H61" s="92">
        <f t="shared" si="11"/>
        <v>0</v>
      </c>
      <c r="I61" s="7"/>
      <c r="J61" s="12">
        <v>1</v>
      </c>
      <c r="K61" s="92">
        <f t="shared" si="12"/>
        <v>34.340000000000003</v>
      </c>
      <c r="L61" s="7"/>
      <c r="M61" s="12">
        <v>0</v>
      </c>
      <c r="N61" s="92">
        <f t="shared" si="13"/>
        <v>0</v>
      </c>
      <c r="O61" s="7"/>
      <c r="P61" s="12">
        <v>0</v>
      </c>
      <c r="Q61" s="92">
        <f t="shared" si="14"/>
        <v>0</v>
      </c>
    </row>
    <row r="62" spans="1:17" ht="16.05" customHeight="1" x14ac:dyDescent="0.4">
      <c r="A62" s="10"/>
      <c r="B62" s="7"/>
      <c r="C62" s="7" t="s">
        <v>116</v>
      </c>
      <c r="D62" s="50" t="s">
        <v>89</v>
      </c>
      <c r="E62" s="11">
        <v>117.05</v>
      </c>
      <c r="F62" s="7"/>
      <c r="G62" s="12">
        <v>1</v>
      </c>
      <c r="H62" s="92">
        <f t="shared" si="11"/>
        <v>117.05</v>
      </c>
      <c r="I62" s="7"/>
      <c r="J62" s="12">
        <v>2</v>
      </c>
      <c r="K62" s="92">
        <f t="shared" si="12"/>
        <v>234.1</v>
      </c>
      <c r="L62" s="7"/>
      <c r="M62" s="12">
        <v>0</v>
      </c>
      <c r="N62" s="92">
        <f t="shared" si="13"/>
        <v>0</v>
      </c>
      <c r="O62" s="7"/>
      <c r="P62" s="12">
        <v>2</v>
      </c>
      <c r="Q62" s="92">
        <f t="shared" si="14"/>
        <v>234.1</v>
      </c>
    </row>
    <row r="63" spans="1:17" ht="16.05" customHeight="1" x14ac:dyDescent="0.4">
      <c r="A63" s="10"/>
      <c r="B63" s="7"/>
      <c r="C63" s="7" t="s">
        <v>117</v>
      </c>
      <c r="D63" s="50" t="s">
        <v>89</v>
      </c>
      <c r="E63" s="11">
        <v>277.23</v>
      </c>
      <c r="F63" s="7"/>
      <c r="G63" s="12">
        <v>1</v>
      </c>
      <c r="H63" s="92">
        <f t="shared" si="11"/>
        <v>277.23</v>
      </c>
      <c r="I63" s="7"/>
      <c r="J63" s="12">
        <v>1</v>
      </c>
      <c r="K63" s="92">
        <f t="shared" si="12"/>
        <v>277.23</v>
      </c>
      <c r="L63" s="7"/>
      <c r="M63" s="12">
        <v>0</v>
      </c>
      <c r="N63" s="92">
        <f t="shared" si="13"/>
        <v>0</v>
      </c>
      <c r="O63" s="7"/>
      <c r="P63" s="12">
        <v>1</v>
      </c>
      <c r="Q63" s="92">
        <f t="shared" si="14"/>
        <v>277.23</v>
      </c>
    </row>
    <row r="64" spans="1:17" ht="16.05" customHeight="1" x14ac:dyDescent="0.4">
      <c r="A64" s="10"/>
      <c r="B64" s="7"/>
      <c r="C64" s="7" t="s">
        <v>109</v>
      </c>
      <c r="D64" s="50" t="s">
        <v>89</v>
      </c>
      <c r="E64" s="11">
        <v>20.182253990906535</v>
      </c>
      <c r="F64" s="7"/>
      <c r="G64" s="12">
        <v>0</v>
      </c>
      <c r="H64" s="92">
        <f t="shared" si="11"/>
        <v>0</v>
      </c>
      <c r="I64" s="7"/>
      <c r="J64" s="12">
        <v>9</v>
      </c>
      <c r="K64" s="92">
        <f t="shared" si="12"/>
        <v>181.64028591815881</v>
      </c>
      <c r="L64" s="7"/>
      <c r="M64" s="12">
        <v>12</v>
      </c>
      <c r="N64" s="92">
        <f t="shared" si="13"/>
        <v>242.18704789087843</v>
      </c>
      <c r="O64" s="7"/>
      <c r="P64" s="12">
        <v>12</v>
      </c>
      <c r="Q64" s="92">
        <f t="shared" si="14"/>
        <v>242.18704789087843</v>
      </c>
    </row>
    <row r="65" spans="1:19" ht="16.05" customHeight="1" x14ac:dyDescent="0.4">
      <c r="A65" s="10"/>
      <c r="B65" s="7" t="s">
        <v>83</v>
      </c>
      <c r="C65" s="7"/>
      <c r="D65" s="50" t="s">
        <v>13</v>
      </c>
      <c r="E65" s="14">
        <v>7.7499999999999999E-2</v>
      </c>
      <c r="F65" s="7"/>
      <c r="G65" s="93"/>
      <c r="H65" s="90">
        <f>SUM(H8:H64)*$E$65*6/12</f>
        <v>73.707038820902255</v>
      </c>
      <c r="I65" s="7"/>
      <c r="J65" s="93"/>
      <c r="K65" s="90">
        <f>SUM(K8:L64)*$E$65*6/12</f>
        <v>470.91145071418151</v>
      </c>
      <c r="L65" s="7"/>
      <c r="M65" s="94"/>
      <c r="N65" s="90">
        <f>SUM(N8:O64)*$E$65*6/12</f>
        <v>61.580378105771537</v>
      </c>
      <c r="O65" s="7"/>
      <c r="P65" s="93"/>
      <c r="Q65" s="90">
        <f>SUM(Q8:R64)*$E$65*6/12</f>
        <v>510.23968813702157</v>
      </c>
    </row>
    <row r="66" spans="1:19" ht="16.05" customHeight="1" x14ac:dyDescent="0.35">
      <c r="C66" s="91" t="s">
        <v>20</v>
      </c>
      <c r="D66" s="50"/>
      <c r="E66" s="7"/>
      <c r="F66" s="7"/>
      <c r="G66" s="97"/>
      <c r="H66" s="92">
        <f>SUM(H8:H65)</f>
        <v>1975.8241696828959</v>
      </c>
      <c r="I66" s="92"/>
      <c r="J66" s="92"/>
      <c r="K66" s="92">
        <f>SUM(K8:K65)</f>
        <v>12623.465017531771</v>
      </c>
      <c r="L66" s="92"/>
      <c r="M66" s="92"/>
      <c r="N66" s="92">
        <f>SUM(N8:N65)</f>
        <v>1650.7514259966499</v>
      </c>
      <c r="O66" s="92"/>
      <c r="P66" s="93"/>
      <c r="Q66" s="92">
        <f>SUM(Q8:Q65)</f>
        <v>13677.715511027902</v>
      </c>
    </row>
    <row r="67" spans="1:19" ht="16.05" customHeight="1" x14ac:dyDescent="0.35">
      <c r="B67" s="84" t="s">
        <v>21</v>
      </c>
      <c r="C67" s="84"/>
      <c r="D67" s="85" t="s">
        <v>3</v>
      </c>
      <c r="E67" s="86" t="s">
        <v>4</v>
      </c>
      <c r="F67" s="87"/>
      <c r="G67" s="86" t="s">
        <v>5</v>
      </c>
      <c r="H67" s="86" t="s">
        <v>6</v>
      </c>
      <c r="I67" s="88"/>
      <c r="J67" s="86" t="s">
        <v>5</v>
      </c>
      <c r="K67" s="86" t="s">
        <v>7</v>
      </c>
      <c r="L67" s="88"/>
      <c r="M67" s="86" t="s">
        <v>5</v>
      </c>
      <c r="N67" s="86" t="s">
        <v>6</v>
      </c>
      <c r="O67" s="89"/>
      <c r="P67" s="86" t="s">
        <v>5</v>
      </c>
      <c r="Q67" s="86" t="s">
        <v>6</v>
      </c>
    </row>
    <row r="68" spans="1:19" ht="16.05" customHeight="1" x14ac:dyDescent="0.35">
      <c r="B68" s="7" t="s">
        <v>91</v>
      </c>
      <c r="C68" s="7"/>
      <c r="D68" s="50" t="s">
        <v>10</v>
      </c>
      <c r="E68" s="15">
        <v>185</v>
      </c>
      <c r="F68" s="7"/>
      <c r="G68" s="12">
        <v>1</v>
      </c>
      <c r="H68" s="92">
        <f>$E$68*G68</f>
        <v>185</v>
      </c>
      <c r="I68" s="7"/>
      <c r="J68" s="12">
        <v>1</v>
      </c>
      <c r="K68" s="92">
        <f>$E$68*J68</f>
        <v>185</v>
      </c>
      <c r="L68" s="7"/>
      <c r="M68" s="12">
        <v>1</v>
      </c>
      <c r="N68" s="92">
        <f>$E$68*M68</f>
        <v>185</v>
      </c>
      <c r="O68" s="7"/>
      <c r="P68" s="12">
        <v>1</v>
      </c>
      <c r="Q68" s="92">
        <f>$E$68*P68</f>
        <v>185</v>
      </c>
    </row>
    <row r="69" spans="1:19" ht="16.05" customHeight="1" x14ac:dyDescent="0.35">
      <c r="B69" s="7" t="s">
        <v>81</v>
      </c>
      <c r="C69" s="7"/>
      <c r="D69" s="50" t="s">
        <v>10</v>
      </c>
      <c r="E69" s="15">
        <v>300</v>
      </c>
      <c r="F69" s="7"/>
      <c r="G69" s="12">
        <v>0</v>
      </c>
      <c r="H69" s="90">
        <f>$E$69*G69</f>
        <v>0</v>
      </c>
      <c r="I69" s="7"/>
      <c r="J69" s="16">
        <v>1</v>
      </c>
      <c r="K69" s="90">
        <f>$E$69*J69</f>
        <v>300</v>
      </c>
      <c r="L69" s="7"/>
      <c r="M69" s="12">
        <v>1</v>
      </c>
      <c r="N69" s="98">
        <f>$E$69*M69</f>
        <v>300</v>
      </c>
      <c r="O69" s="7"/>
      <c r="P69" s="12">
        <v>1</v>
      </c>
      <c r="Q69" s="90">
        <f>$E$69*P69</f>
        <v>300</v>
      </c>
    </row>
    <row r="70" spans="1:19" ht="16.05" customHeight="1" x14ac:dyDescent="0.35">
      <c r="C70" s="115" t="s">
        <v>22</v>
      </c>
      <c r="D70"/>
      <c r="E70" s="7"/>
      <c r="F70" s="7"/>
      <c r="G70" s="7"/>
      <c r="H70" s="92">
        <f>SUM(H68:H69)</f>
        <v>185</v>
      </c>
      <c r="I70" s="7"/>
      <c r="J70" s="7"/>
      <c r="K70" s="92">
        <f>SUM(K68:K69)</f>
        <v>485</v>
      </c>
      <c r="L70" s="7"/>
      <c r="M70" s="7"/>
      <c r="N70" s="92">
        <f>SUM(N68:N69)</f>
        <v>485</v>
      </c>
      <c r="O70" s="7"/>
      <c r="P70" s="7"/>
      <c r="Q70" s="92">
        <f>SUM(Q68:Q69)</f>
        <v>485</v>
      </c>
    </row>
    <row r="71" spans="1:19" ht="16.05" customHeight="1" x14ac:dyDescent="0.35">
      <c r="B71" s="100"/>
      <c r="C71" s="116" t="s">
        <v>14</v>
      </c>
      <c r="D71" s="18"/>
      <c r="E71" s="99"/>
      <c r="F71" s="99"/>
      <c r="G71" s="99"/>
      <c r="H71" s="90">
        <f>H66+H70</f>
        <v>2160.8241696828959</v>
      </c>
      <c r="I71" s="90"/>
      <c r="J71" s="90"/>
      <c r="K71" s="90">
        <f>K66+K70</f>
        <v>13108.465017531771</v>
      </c>
      <c r="L71" s="90"/>
      <c r="M71" s="90"/>
      <c r="N71" s="90">
        <f>N66+N70</f>
        <v>2135.7514259966501</v>
      </c>
      <c r="O71" s="90"/>
      <c r="P71" s="90"/>
      <c r="Q71" s="90">
        <f>Q66+Q70</f>
        <v>14162.715511027902</v>
      </c>
      <c r="R71" s="100"/>
    </row>
    <row r="72" spans="1:19" ht="16.05" customHeight="1" x14ac:dyDescent="0.35">
      <c r="B72" s="134" t="s">
        <v>23</v>
      </c>
      <c r="C72" s="134"/>
      <c r="D72" s="134"/>
      <c r="E72" s="7"/>
      <c r="F72" s="7"/>
      <c r="G72" s="7"/>
      <c r="H72" s="92">
        <f>H6-H66</f>
        <v>-1975.8241696828959</v>
      </c>
      <c r="I72" s="92"/>
      <c r="J72" s="92"/>
      <c r="K72" s="92">
        <f>K6-K66</f>
        <v>-12623.465017531771</v>
      </c>
      <c r="L72" s="92"/>
      <c r="M72" s="92"/>
      <c r="N72" s="92">
        <f>N6-N66</f>
        <v>-1650.7514259966499</v>
      </c>
      <c r="O72" s="92"/>
      <c r="P72" s="92"/>
      <c r="Q72" s="92">
        <f>Q6-Q66</f>
        <v>11224.084488972097</v>
      </c>
    </row>
    <row r="73" spans="1:19" ht="16.05" customHeight="1" thickBot="1" x14ac:dyDescent="0.4">
      <c r="B73" s="135" t="s">
        <v>15</v>
      </c>
      <c r="C73" s="135"/>
      <c r="D73" s="135"/>
      <c r="E73" s="102"/>
      <c r="F73" s="102"/>
      <c r="G73" s="102"/>
      <c r="H73" s="103">
        <f>H6-H71</f>
        <v>-2160.8241696828959</v>
      </c>
      <c r="I73" s="103"/>
      <c r="J73" s="103"/>
      <c r="K73" s="103">
        <f>K6-K71</f>
        <v>-13108.465017531771</v>
      </c>
      <c r="L73" s="103"/>
      <c r="M73" s="103"/>
      <c r="N73" s="103">
        <f>N6-N71</f>
        <v>-2135.7514259966501</v>
      </c>
      <c r="O73" s="103"/>
      <c r="P73" s="103"/>
      <c r="Q73" s="103">
        <f>Q6-Q71</f>
        <v>10739.084488972097</v>
      </c>
      <c r="R73" s="101"/>
    </row>
    <row r="74" spans="1:19" ht="16.05" customHeight="1" thickTop="1" x14ac:dyDescent="0.35">
      <c r="B74" s="50" t="s">
        <v>42</v>
      </c>
      <c r="C74" s="50"/>
      <c r="D74" s="50"/>
      <c r="E74" s="50"/>
      <c r="F74" s="50"/>
      <c r="G74" s="50"/>
      <c r="H74" s="50"/>
      <c r="I74" s="50"/>
      <c r="J74" s="50"/>
      <c r="K74" s="50"/>
      <c r="L74" s="50"/>
      <c r="M74" s="50"/>
      <c r="N74" s="50"/>
      <c r="O74" s="50"/>
      <c r="P74" s="50"/>
      <c r="Q74" s="50"/>
      <c r="R74" s="50"/>
      <c r="S74" s="50"/>
    </row>
    <row r="75" spans="1:19" ht="16.05" hidden="1" customHeight="1" x14ac:dyDescent="0.35">
      <c r="B75"/>
      <c r="C75"/>
      <c r="D75"/>
      <c r="E75"/>
      <c r="F75"/>
      <c r="G75"/>
      <c r="H75"/>
      <c r="I75"/>
      <c r="J75"/>
      <c r="K75"/>
      <c r="L75"/>
      <c r="M75"/>
      <c r="N75"/>
      <c r="O75"/>
      <c r="P75"/>
      <c r="Q75"/>
    </row>
    <row r="76" spans="1:19" ht="16.05" hidden="1" customHeight="1" x14ac:dyDescent="0.35">
      <c r="B76" s="75"/>
      <c r="C76" s="75"/>
      <c r="D76"/>
      <c r="E76"/>
      <c r="F76"/>
      <c r="G76"/>
      <c r="H76"/>
      <c r="I76"/>
      <c r="J76"/>
      <c r="K76"/>
      <c r="L76"/>
      <c r="M76"/>
      <c r="N76"/>
      <c r="O76"/>
      <c r="P76"/>
      <c r="Q76"/>
    </row>
    <row r="77" spans="1:19" ht="16.05" hidden="1" customHeight="1" x14ac:dyDescent="0.35">
      <c r="B77"/>
      <c r="C77"/>
      <c r="D77"/>
      <c r="E77"/>
      <c r="F77" s="133"/>
      <c r="G77" s="133"/>
      <c r="H77"/>
      <c r="I77"/>
      <c r="J77"/>
      <c r="K77"/>
      <c r="L77"/>
      <c r="M77"/>
      <c r="N77"/>
      <c r="O77"/>
      <c r="P77"/>
      <c r="Q77"/>
      <c r="R77"/>
    </row>
    <row r="78" spans="1:19" ht="16.05" hidden="1" customHeight="1" x14ac:dyDescent="0.35">
      <c r="B78"/>
      <c r="C78"/>
      <c r="D78"/>
      <c r="E78"/>
      <c r="F78" s="133"/>
      <c r="G78" s="133"/>
      <c r="H78"/>
      <c r="I78"/>
      <c r="J78" s="76"/>
      <c r="K78" s="77"/>
      <c r="L78" s="77"/>
      <c r="M78" s="77"/>
      <c r="N78" s="77"/>
      <c r="O78" s="77"/>
      <c r="P78"/>
      <c r="Q78"/>
    </row>
    <row r="79" spans="1:19" ht="16.05" hidden="1" customHeight="1" x14ac:dyDescent="0.35">
      <c r="B79"/>
      <c r="C79"/>
      <c r="D79"/>
      <c r="E79" s="133"/>
      <c r="F79" s="133"/>
      <c r="G79" s="133"/>
      <c r="H79"/>
      <c r="I79"/>
      <c r="J79" s="76"/>
      <c r="K79" s="77"/>
      <c r="L79" s="77"/>
      <c r="M79" s="77"/>
      <c r="N79" s="77"/>
      <c r="O79" s="77"/>
      <c r="P79"/>
      <c r="Q79"/>
    </row>
    <row r="80" spans="1:19" ht="16.05" hidden="1" customHeight="1" x14ac:dyDescent="0.35">
      <c r="B80"/>
      <c r="C80"/>
      <c r="E80" s="78"/>
      <c r="F80" s="78"/>
      <c r="G80" s="78"/>
      <c r="H80"/>
      <c r="I80"/>
      <c r="J80" s="76"/>
      <c r="K80" s="77"/>
      <c r="L80" s="77"/>
      <c r="M80" s="77"/>
      <c r="N80" s="77"/>
      <c r="O80" s="77"/>
      <c r="P80"/>
      <c r="Q80"/>
    </row>
    <row r="81" spans="2:17" ht="16.05" hidden="1" customHeight="1" x14ac:dyDescent="0.35">
      <c r="B81"/>
      <c r="C81"/>
      <c r="D81" s="78"/>
      <c r="E81" s="78"/>
      <c r="F81" s="78"/>
      <c r="G81"/>
      <c r="H81"/>
      <c r="I81"/>
      <c r="J81" s="132"/>
      <c r="K81" s="132"/>
      <c r="L81" s="132"/>
      <c r="M81" s="132"/>
      <c r="N81" s="132"/>
      <c r="O81" s="132"/>
      <c r="P81"/>
      <c r="Q81"/>
    </row>
    <row r="82" spans="2:17" ht="16.05" hidden="1" customHeight="1" x14ac:dyDescent="0.35">
      <c r="B82" s="75"/>
      <c r="C82" s="75"/>
      <c r="D82" s="78"/>
      <c r="E82" s="78"/>
      <c r="F82" s="78"/>
      <c r="G82" s="79"/>
      <c r="H82"/>
      <c r="I82"/>
      <c r="J82" s="132"/>
      <c r="K82" s="132"/>
      <c r="L82" s="132"/>
      <c r="M82" s="132"/>
      <c r="N82" s="132"/>
      <c r="O82" s="132"/>
      <c r="P82"/>
      <c r="Q82"/>
    </row>
    <row r="83" spans="2:17" ht="16.05" hidden="1" customHeight="1" x14ac:dyDescent="0.35">
      <c r="B83"/>
      <c r="C83"/>
      <c r="D83" s="78"/>
      <c r="E83" s="78"/>
      <c r="F83" s="78"/>
      <c r="G83" s="80"/>
      <c r="H83"/>
      <c r="I83"/>
      <c r="K83"/>
      <c r="L83"/>
      <c r="M83"/>
      <c r="N83"/>
      <c r="O83"/>
      <c r="P83"/>
      <c r="Q83"/>
    </row>
    <row r="84" spans="2:17" ht="16.05" hidden="1" customHeight="1" x14ac:dyDescent="0.35">
      <c r="B84"/>
      <c r="C84"/>
      <c r="D84"/>
      <c r="E84"/>
      <c r="F84"/>
      <c r="G84" s="80"/>
      <c r="H84"/>
      <c r="I84"/>
      <c r="J84"/>
      <c r="K84"/>
      <c r="L84"/>
      <c r="M84"/>
      <c r="N84"/>
      <c r="O84"/>
      <c r="P84"/>
      <c r="Q84"/>
    </row>
    <row r="85" spans="2:17" ht="16.05" hidden="1" customHeight="1" x14ac:dyDescent="0.35">
      <c r="B85"/>
      <c r="C85"/>
      <c r="D85"/>
      <c r="E85"/>
      <c r="F85"/>
      <c r="G85" s="80"/>
      <c r="H85"/>
      <c r="I85"/>
      <c r="J85"/>
      <c r="K85"/>
      <c r="L85"/>
      <c r="M85"/>
      <c r="N85"/>
      <c r="O85"/>
      <c r="P85"/>
      <c r="Q85"/>
    </row>
  </sheetData>
  <mergeCells count="11">
    <mergeCell ref="P3:Q3"/>
    <mergeCell ref="B2:R2"/>
    <mergeCell ref="J81:O82"/>
    <mergeCell ref="F77:G77"/>
    <mergeCell ref="F78:G78"/>
    <mergeCell ref="E79:G79"/>
    <mergeCell ref="G3:H3"/>
    <mergeCell ref="J3:K3"/>
    <mergeCell ref="M3:N3"/>
    <mergeCell ref="B72:D72"/>
    <mergeCell ref="B73:D73"/>
  </mergeCells>
  <pageMargins left="0.5" right="0.5" top="0.25" bottom="0.25" header="0.5" footer="0.5"/>
  <pageSetup scale="85" fitToHeight="0" orientation="landscape" r:id="rId1"/>
  <rowBreaks count="1" manualBreakCount="1">
    <brk id="37" min="1" max="17" man="1"/>
  </rowBreaks>
  <ignoredErrors>
    <ignoredError sqref="H38 K38 N38 Q3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pageSetUpPr fitToPage="1"/>
  </sheetPr>
  <dimension ref="A1:L49"/>
  <sheetViews>
    <sheetView workbookViewId="0"/>
  </sheetViews>
  <sheetFormatPr defaultColWidth="0" defaultRowHeight="14.4" zeroHeight="1" x14ac:dyDescent="0.3"/>
  <cols>
    <col min="1" max="1" width="3.09765625" style="4" customWidth="1"/>
    <col min="2" max="2" width="8.59765625" customWidth="1"/>
    <col min="3" max="3" width="10.09765625" customWidth="1"/>
    <col min="4" max="4" width="9.296875" customWidth="1"/>
    <col min="5" max="5" width="11.796875" customWidth="1"/>
    <col min="6" max="6" width="9.59765625" bestFit="1" customWidth="1"/>
    <col min="7" max="7" width="8.796875" bestFit="1" customWidth="1"/>
    <col min="8" max="8" width="9.796875" customWidth="1"/>
    <col min="9" max="9" width="11" customWidth="1"/>
    <col min="10" max="10" width="9.796875" bestFit="1" customWidth="1"/>
    <col min="11" max="11" width="10.09765625" customWidth="1"/>
    <col min="12" max="12" width="3.09765625" style="4" customWidth="1"/>
    <col min="13" max="16384" width="8.59765625" hidden="1"/>
  </cols>
  <sheetData>
    <row r="1" spans="1:12" ht="15.6" x14ac:dyDescent="0.3">
      <c r="B1" s="136" t="s">
        <v>120</v>
      </c>
      <c r="C1" s="136"/>
      <c r="D1" s="136"/>
      <c r="E1" s="136"/>
      <c r="F1" s="136"/>
      <c r="G1" s="136"/>
      <c r="H1" s="136"/>
      <c r="I1" s="136"/>
      <c r="J1" s="136"/>
      <c r="K1" s="136"/>
    </row>
    <row r="2" spans="1:12" ht="34.049999999999997" customHeight="1" x14ac:dyDescent="0.3">
      <c r="B2" s="138" t="s">
        <v>119</v>
      </c>
      <c r="C2" s="138"/>
      <c r="D2" s="138"/>
      <c r="E2" s="138"/>
      <c r="F2" s="138"/>
      <c r="G2" s="138"/>
      <c r="H2" s="138"/>
      <c r="I2" s="138"/>
      <c r="J2" s="138"/>
      <c r="K2" s="138"/>
    </row>
    <row r="3" spans="1:12" s="19" customFormat="1" ht="16.5" customHeight="1" x14ac:dyDescent="0.3">
      <c r="A3" s="4"/>
      <c r="B3" s="51"/>
      <c r="C3" s="52"/>
      <c r="D3" s="113"/>
      <c r="E3" s="142" t="s">
        <v>92</v>
      </c>
      <c r="F3" s="142"/>
      <c r="G3" s="142"/>
      <c r="H3" s="142"/>
      <c r="I3" s="142"/>
      <c r="J3" s="142"/>
      <c r="K3" s="143"/>
      <c r="L3" s="4"/>
    </row>
    <row r="4" spans="1:12" ht="16.5" customHeight="1" x14ac:dyDescent="0.3">
      <c r="B4" s="53"/>
      <c r="C4" s="107"/>
      <c r="D4" s="114"/>
      <c r="E4" s="108" t="s">
        <v>34</v>
      </c>
      <c r="F4" s="108" t="s">
        <v>33</v>
      </c>
      <c r="G4" s="108" t="s">
        <v>29</v>
      </c>
      <c r="H4" s="108" t="s">
        <v>27</v>
      </c>
      <c r="I4" s="108" t="s">
        <v>25</v>
      </c>
      <c r="J4" s="108" t="s">
        <v>31</v>
      </c>
      <c r="K4" s="109" t="s">
        <v>32</v>
      </c>
    </row>
    <row r="5" spans="1:12" ht="16.5" customHeight="1" x14ac:dyDescent="0.3">
      <c r="B5" s="110"/>
      <c r="C5" s="111"/>
      <c r="D5" s="112"/>
      <c r="E5" s="55">
        <f>H5*70%</f>
        <v>4446.75</v>
      </c>
      <c r="F5" s="55">
        <f>H5*80%</f>
        <v>5082</v>
      </c>
      <c r="G5" s="55">
        <f>H5*90%</f>
        <v>5717.25</v>
      </c>
      <c r="H5" s="20">
        <f>Budget!P5</f>
        <v>6352.5</v>
      </c>
      <c r="I5" s="55">
        <f>H5*110%</f>
        <v>6987.7500000000009</v>
      </c>
      <c r="J5" s="55">
        <f>H5*120%</f>
        <v>7623</v>
      </c>
      <c r="K5" s="56">
        <f>H5*130%</f>
        <v>8258.25</v>
      </c>
    </row>
    <row r="6" spans="1:12" ht="16.5" customHeight="1" x14ac:dyDescent="0.3">
      <c r="B6" s="139" t="s">
        <v>93</v>
      </c>
      <c r="C6" s="57" t="s">
        <v>30</v>
      </c>
      <c r="D6" s="23">
        <f>D9*85%</f>
        <v>3.3319999999999999</v>
      </c>
      <c r="E6" s="24">
        <f>(D6*$E$5)-Budget!Q71</f>
        <v>653.8554889720981</v>
      </c>
      <c r="F6" s="25">
        <f>(D6*$F$5)-Budget!$Q$71</f>
        <v>2770.5084889720965</v>
      </c>
      <c r="G6" s="26">
        <f>(D6*$G$5)-Budget!$Q$71</f>
        <v>4887.1614889720986</v>
      </c>
      <c r="H6" s="26">
        <f>(D6*$H$5)-Budget!$Q$71</f>
        <v>7003.814488972097</v>
      </c>
      <c r="I6" s="26">
        <f>(D6*$I$5)-Budget!$Q$71</f>
        <v>9120.4674889720991</v>
      </c>
      <c r="J6" s="26">
        <f>(D6*$J$5)-Budget!$Q$71</f>
        <v>11237.120488972098</v>
      </c>
      <c r="K6" s="27">
        <f>(D6*$K$5)-Budget!$Q$71</f>
        <v>13353.773488972096</v>
      </c>
    </row>
    <row r="7" spans="1:12" ht="16.5" customHeight="1" x14ac:dyDescent="0.3">
      <c r="B7" s="139"/>
      <c r="C7" s="57" t="s">
        <v>29</v>
      </c>
      <c r="D7" s="23">
        <f>D9*90%</f>
        <v>3.528</v>
      </c>
      <c r="E7" s="24">
        <f>(D7*$E$5)-Budget!$Q$71</f>
        <v>1525.4184889720982</v>
      </c>
      <c r="F7" s="25">
        <f>(D7*$F$5)-Budget!$Q$71</f>
        <v>3766.5804889720966</v>
      </c>
      <c r="G7" s="26">
        <f>(D7*$G$5)-Budget!$Q$71</f>
        <v>6007.7424889720969</v>
      </c>
      <c r="H7" s="26">
        <f>(D7*$H$5)-Budget!$Q$71</f>
        <v>8248.9044889720972</v>
      </c>
      <c r="I7" s="26">
        <f>(D7*$I$5)-Budget!$Q$71</f>
        <v>10490.066488972101</v>
      </c>
      <c r="J7" s="26">
        <f>(D7*$J$5)-Budget!$Q$71</f>
        <v>12731.228488972098</v>
      </c>
      <c r="K7" s="27">
        <f>(D7*$K$5)-Budget!$Q$71</f>
        <v>14972.390488972098</v>
      </c>
    </row>
    <row r="8" spans="1:12" ht="16.5" customHeight="1" thickBot="1" x14ac:dyDescent="0.35">
      <c r="B8" s="139"/>
      <c r="C8" s="58" t="s">
        <v>28</v>
      </c>
      <c r="D8" s="23">
        <f>D9*0.95</f>
        <v>3.7239999999999998</v>
      </c>
      <c r="E8" s="24">
        <f>(D8*$E$5)-Budget!$Q$71</f>
        <v>2396.9814889720983</v>
      </c>
      <c r="F8" s="25">
        <f>(D8*$F$5)-Budget!$Q$71</f>
        <v>4762.6524889720968</v>
      </c>
      <c r="G8" s="26">
        <f>(D8*$G$5)-Budget!$Q$71</f>
        <v>7128.3234889720952</v>
      </c>
      <c r="H8" s="26">
        <f>(D8*$H$5)-Budget!$Q$71</f>
        <v>9493.9944889720973</v>
      </c>
      <c r="I8" s="26">
        <f>(D8*$I$5)-Budget!$Q$71</f>
        <v>11859.665488972099</v>
      </c>
      <c r="J8" s="26">
        <f>(D8*$J$5)-Budget!$Q$71</f>
        <v>14225.336488972098</v>
      </c>
      <c r="K8" s="27">
        <f>(D8*$K$5)-Budget!$Q$71</f>
        <v>16591.007488972096</v>
      </c>
    </row>
    <row r="9" spans="1:12" ht="16.5" customHeight="1" thickBot="1" x14ac:dyDescent="0.35">
      <c r="B9" s="139"/>
      <c r="C9" s="57" t="s">
        <v>27</v>
      </c>
      <c r="D9" s="21">
        <f>Budget!E5</f>
        <v>3.92</v>
      </c>
      <c r="E9" s="24">
        <f>(D9*$E$5)-Budget!$Q$71</f>
        <v>3268.5444889720966</v>
      </c>
      <c r="F9" s="25">
        <f>(D9*$F$5)-Budget!$Q$71</f>
        <v>5758.7244889720969</v>
      </c>
      <c r="G9" s="26">
        <f>(D9*$G$5)-Budget!$Q$71</f>
        <v>8248.9044889720972</v>
      </c>
      <c r="H9" s="28">
        <f>(D9*$H$5)-Budget!$Q$71</f>
        <v>10739.084488972097</v>
      </c>
      <c r="I9" s="26">
        <f>(D9*$I$5)-Budget!$Q$71</f>
        <v>13229.264488972101</v>
      </c>
      <c r="J9" s="26">
        <f>(D9*$J$5)-Budget!$Q$71</f>
        <v>15719.444488972098</v>
      </c>
      <c r="K9" s="27">
        <f>(D9*$K$5)-Budget!$Q$71</f>
        <v>18209.624488972098</v>
      </c>
    </row>
    <row r="10" spans="1:12" ht="16.5" customHeight="1" x14ac:dyDescent="0.3">
      <c r="B10" s="139"/>
      <c r="C10" s="57" t="s">
        <v>26</v>
      </c>
      <c r="D10" s="23">
        <f>D9*105%</f>
        <v>4.1159999999999997</v>
      </c>
      <c r="E10" s="24">
        <f>(D10*$E$5)-Budget!$Q$71</f>
        <v>4140.1074889720949</v>
      </c>
      <c r="F10" s="25">
        <f>(D10*$F$5)-Budget!$Q$71</f>
        <v>6754.796488972097</v>
      </c>
      <c r="G10" s="26">
        <f>(D10*$G$5)-Budget!$Q$71</f>
        <v>9369.4854889720955</v>
      </c>
      <c r="H10" s="26">
        <f>(D10*$H$5)-Budget!$Q$71</f>
        <v>11984.174488972098</v>
      </c>
      <c r="I10" s="26">
        <f>(D10*$I$5)-Budget!$Q$71</f>
        <v>14598.8634889721</v>
      </c>
      <c r="J10" s="26">
        <f>(D10*$J$5)-Budget!$Q$71</f>
        <v>17213.552488972095</v>
      </c>
      <c r="K10" s="27">
        <f>(D10*$K$5)-Budget!$Q$71</f>
        <v>19828.241488972093</v>
      </c>
    </row>
    <row r="11" spans="1:12" ht="16.5" customHeight="1" x14ac:dyDescent="0.3">
      <c r="B11" s="139"/>
      <c r="C11" s="57" t="s">
        <v>25</v>
      </c>
      <c r="D11" s="23">
        <f>D9*110%</f>
        <v>4.3120000000000003</v>
      </c>
      <c r="E11" s="24">
        <f>(D11*$E$5)-Budget!$Q$71</f>
        <v>5011.6704889721004</v>
      </c>
      <c r="F11" s="25">
        <f>(D11*$F$5)-Budget!$Q$71</f>
        <v>7750.8684889721007</v>
      </c>
      <c r="G11" s="26">
        <f>(D11*$G$5)-Budget!$Q$71</f>
        <v>10490.066488972101</v>
      </c>
      <c r="H11" s="26">
        <f>(D11*$H$5)-Budget!$Q$71</f>
        <v>13229.264488972101</v>
      </c>
      <c r="I11" s="26">
        <f>(D11*$I$5)-Budget!$Q$71</f>
        <v>15968.462488972105</v>
      </c>
      <c r="J11" s="26">
        <f>(D11*$J$5)-Budget!$Q$71</f>
        <v>18707.660488972102</v>
      </c>
      <c r="K11" s="27">
        <f>(D11*$K$5)-Budget!$Q$71</f>
        <v>21446.858488972099</v>
      </c>
    </row>
    <row r="12" spans="1:12" s="18" customFormat="1" ht="16.5" customHeight="1" x14ac:dyDescent="0.3">
      <c r="A12" s="4"/>
      <c r="B12" s="140"/>
      <c r="C12" s="59" t="s">
        <v>24</v>
      </c>
      <c r="D12" s="29">
        <f>D9*115%</f>
        <v>4.508</v>
      </c>
      <c r="E12" s="30">
        <f>(D12*$E$5)-Budget!$Q$71</f>
        <v>5883.2334889720987</v>
      </c>
      <c r="F12" s="31">
        <f>(D12*$F$5)-Budget!$Q$71</f>
        <v>8746.9404889720972</v>
      </c>
      <c r="G12" s="32">
        <f>(D12*$G$5)-Budget!$Q$71</f>
        <v>11610.647488972099</v>
      </c>
      <c r="H12" s="32">
        <f>(D12*$H$5)-Budget!$Q$71</f>
        <v>14474.354488972098</v>
      </c>
      <c r="I12" s="32">
        <f>(D12*$I$5)-Budget!$Q$71</f>
        <v>17338.061488972104</v>
      </c>
      <c r="J12" s="32">
        <f>(D12*$J$5)-Budget!$Q$71</f>
        <v>20201.768488972095</v>
      </c>
      <c r="K12" s="33">
        <f>(D12*$K$5)-Budget!$Q$71</f>
        <v>23065.475488972097</v>
      </c>
      <c r="L12" s="4"/>
    </row>
    <row r="13" spans="1:12" s="4" customFormat="1" ht="8.1" customHeight="1" x14ac:dyDescent="0.3">
      <c r="B13" s="6"/>
      <c r="C13" s="6"/>
      <c r="D13" s="6"/>
      <c r="E13" s="6"/>
      <c r="F13" s="6"/>
      <c r="G13" s="6"/>
      <c r="H13" s="6"/>
      <c r="I13" s="6"/>
      <c r="J13" s="6"/>
      <c r="K13" s="6"/>
    </row>
    <row r="14" spans="1:12" s="4" customFormat="1" ht="15.6" x14ac:dyDescent="0.3">
      <c r="B14" s="136" t="s">
        <v>131</v>
      </c>
      <c r="C14" s="136"/>
      <c r="D14" s="136"/>
      <c r="E14" s="136"/>
      <c r="F14" s="136"/>
      <c r="G14" s="136"/>
      <c r="H14" s="136"/>
      <c r="I14" s="136"/>
      <c r="J14" s="136"/>
      <c r="K14" s="136"/>
    </row>
    <row r="15" spans="1:12" s="4" customFormat="1" ht="35.1" customHeight="1" x14ac:dyDescent="0.3">
      <c r="B15" s="138" t="s">
        <v>40</v>
      </c>
      <c r="C15" s="138"/>
      <c r="D15" s="138"/>
      <c r="E15" s="138"/>
      <c r="F15" s="138"/>
      <c r="G15" s="138"/>
      <c r="H15" s="138"/>
      <c r="I15" s="138"/>
      <c r="J15" s="138"/>
      <c r="K15" s="138"/>
    </row>
    <row r="16" spans="1:12" ht="16.5" customHeight="1" x14ac:dyDescent="0.3">
      <c r="B16" s="51"/>
      <c r="C16" s="51"/>
      <c r="D16" s="60"/>
      <c r="E16" s="141" t="s">
        <v>2</v>
      </c>
      <c r="F16" s="142"/>
      <c r="G16" s="142"/>
      <c r="H16" s="142"/>
      <c r="I16" s="142"/>
      <c r="J16" s="142"/>
      <c r="K16" s="143"/>
    </row>
    <row r="17" spans="2:11" ht="16.5" customHeight="1" x14ac:dyDescent="0.3">
      <c r="B17" s="54"/>
      <c r="C17" s="54"/>
      <c r="D17" s="61"/>
      <c r="E17" s="62" t="s">
        <v>30</v>
      </c>
      <c r="F17" s="62" t="s">
        <v>29</v>
      </c>
      <c r="G17" s="62" t="s">
        <v>28</v>
      </c>
      <c r="H17" s="62" t="s">
        <v>27</v>
      </c>
      <c r="I17" s="62" t="s">
        <v>26</v>
      </c>
      <c r="J17" s="62" t="s">
        <v>25</v>
      </c>
      <c r="K17" s="63" t="s">
        <v>24</v>
      </c>
    </row>
    <row r="18" spans="2:11" ht="16.5" customHeight="1" x14ac:dyDescent="0.3">
      <c r="B18" s="144" t="s">
        <v>19</v>
      </c>
      <c r="C18" s="64"/>
      <c r="D18" s="65" t="s">
        <v>30</v>
      </c>
      <c r="E18" s="34">
        <f>(Budget!Q6*0.85)-(Budget!Q66*0.85)-Budget!Q70</f>
        <v>9055.4718156262825</v>
      </c>
      <c r="F18" s="22">
        <f>(Budget!Q6*0.9)-(Budget!Q66*0.85)-Budget!Q70</f>
        <v>10300.561815626283</v>
      </c>
      <c r="G18" s="22">
        <f>(Budget!Q6*0.95)-(Budget!Q66*0.85)-Budget!Q70</f>
        <v>11545.651815626283</v>
      </c>
      <c r="H18" s="35">
        <f>Budget!Q6-(Budget!Q66*0.85)-Budget!Q70</f>
        <v>12790.741815626283</v>
      </c>
      <c r="I18" s="35">
        <f>(Budget!Q6*1.05)-(Budget!Q66*0.85)-Budget!Q70</f>
        <v>14035.831815626283</v>
      </c>
      <c r="J18" s="35">
        <f>(Budget!Q6*1.1)-(Budget!Q66*0.85)-Budget!Q70</f>
        <v>15280.921815626287</v>
      </c>
      <c r="K18" s="36">
        <f>(Budget!Q6*1.15)-(Budget!Q66*0.85)-Budget!Q70</f>
        <v>16526.01181562628</v>
      </c>
    </row>
    <row r="19" spans="2:11" ht="16.5" customHeight="1" x14ac:dyDescent="0.3">
      <c r="B19" s="144"/>
      <c r="C19" s="64"/>
      <c r="D19" s="65" t="s">
        <v>29</v>
      </c>
      <c r="E19" s="37">
        <f>(Budget!Q6*0.85)-(Budget!Q66*0.9)-Budget!Q70</f>
        <v>8371.5860400748861</v>
      </c>
      <c r="F19" s="26">
        <f>(Budget!Q6*0.9)-(Budget!Q66*0.9)-Budget!Q70</f>
        <v>9616.6760400748863</v>
      </c>
      <c r="G19" s="26">
        <f>(Budget!Q6*0.95)-(Budget!Q66*0.9)-Budget!Q70</f>
        <v>10861.766040074886</v>
      </c>
      <c r="H19" s="38">
        <f>Budget!Q6-(Budget!Q66*0.9)-Budget!Q70</f>
        <v>12106.856040074887</v>
      </c>
      <c r="I19" s="38">
        <f>(Budget!Q6*1.05)-(Budget!Q66*0.9)-Budget!Q70</f>
        <v>13351.946040074887</v>
      </c>
      <c r="J19" s="38">
        <f>(Budget!Q6*1.1)-(Budget!Q66*0.9)-Budget!Q70</f>
        <v>14597.03604007489</v>
      </c>
      <c r="K19" s="39">
        <f>(Budget!Q6*1.15)-(Budget!Q66*0.9)-Budget!Q70</f>
        <v>15842.126040074883</v>
      </c>
    </row>
    <row r="20" spans="2:11" ht="16.5" customHeight="1" thickBot="1" x14ac:dyDescent="0.35">
      <c r="B20" s="144"/>
      <c r="C20" s="64"/>
      <c r="D20" s="65" t="s">
        <v>28</v>
      </c>
      <c r="E20" s="37">
        <f>(Budget!Q6*0.85)-(Budget!Q66*0.95)-Budget!Q70</f>
        <v>7687.7002645234934</v>
      </c>
      <c r="F20" s="26">
        <f>(Budget!Q6*0.9)-(Budget!Q66*0.95)-Budget!Q70</f>
        <v>8932.7902645234935</v>
      </c>
      <c r="G20" s="26">
        <f>(Budget!Q6*0.95)-(Budget!Q66*0.95)-Budget!Q70</f>
        <v>10177.880264523494</v>
      </c>
      <c r="H20" s="38">
        <f>Budget!Q6-(Budget!Q66*0.95)-Budget!Q70</f>
        <v>11422.970264523494</v>
      </c>
      <c r="I20" s="38">
        <f>(Budget!Q6*1.05)-(Budget!Q66*0.95)-Budget!Q70</f>
        <v>12668.060264523494</v>
      </c>
      <c r="J20" s="38">
        <f>(Budget!Q6*1.1)-(Budget!Q66*0.95)-Budget!Q70</f>
        <v>13913.150264523498</v>
      </c>
      <c r="K20" s="39">
        <f>(Budget!Q6*1.15)-(Budget!Q66*0.95)-Budget!Q70</f>
        <v>15158.240264523491</v>
      </c>
    </row>
    <row r="21" spans="2:11" ht="16.5" customHeight="1" thickBot="1" x14ac:dyDescent="0.35">
      <c r="B21" s="144"/>
      <c r="C21" s="64"/>
      <c r="D21" s="65" t="s">
        <v>27</v>
      </c>
      <c r="E21" s="37">
        <f>(Budget!Q6*0.85)-Budget!Q66-Budget!Q70</f>
        <v>7003.814488972097</v>
      </c>
      <c r="F21" s="26">
        <f>(Budget!Q6*0.9)-(Budget!Q66)-Budget!Q70</f>
        <v>8248.9044889720972</v>
      </c>
      <c r="G21" s="26">
        <f>(Budget!Q6*0.95)-(Budget!Q66)-Budget!Q70</f>
        <v>9493.9944889720973</v>
      </c>
      <c r="H21" s="40">
        <f>Budget!Q6-(Budget!Q66)-Budget!Q70</f>
        <v>10739.084488972097</v>
      </c>
      <c r="I21" s="38">
        <f>(Budget!Q6*1.05)-(Budget!Q66)-Budget!Q70</f>
        <v>11984.174488972098</v>
      </c>
      <c r="J21" s="38">
        <f>(Budget!Q6*1.1)-(Budget!Q66)-Budget!Q70</f>
        <v>13229.264488972101</v>
      </c>
      <c r="K21" s="39">
        <f>(Budget!Q6*1.15)-(Budget!Q66)-Budget!Q70</f>
        <v>14474.354488972094</v>
      </c>
    </row>
    <row r="22" spans="2:11" ht="16.5" customHeight="1" x14ac:dyDescent="0.3">
      <c r="B22" s="144"/>
      <c r="C22" s="64"/>
      <c r="D22" s="65" t="s">
        <v>26</v>
      </c>
      <c r="E22" s="37">
        <f>(Budget!Q6*0.85)-(Budget!Q66*1.05)-Budget!Q70</f>
        <v>6319.9287134207007</v>
      </c>
      <c r="F22" s="26">
        <f>(Budget!Q6*0.9)-(Budget!Q66*1.05)-Budget!Q70</f>
        <v>7565.0187134207008</v>
      </c>
      <c r="G22" s="26">
        <f>(Budget!Q6*0.95)-(Budget!Q66*1.05)-Budget!Q70</f>
        <v>8810.108713420701</v>
      </c>
      <c r="H22" s="38">
        <f>Budget!Q6-(Budget!Q66*1.05)-Budget!Q70</f>
        <v>10055.198713420701</v>
      </c>
      <c r="I22" s="38">
        <f>(Budget!Q6*1.05)-(Budget!Q66*1.05)-Budget!Q70</f>
        <v>11300.288713420701</v>
      </c>
      <c r="J22" s="38">
        <f>(Budget!Q6*1.1)-(Budget!Q66*1.05)-Budget!Q70</f>
        <v>12545.378713420705</v>
      </c>
      <c r="K22" s="39">
        <f>(Budget!Q6*1.15)-(Budget!Q66*1.05)-Budget!Q70</f>
        <v>13790.468713420698</v>
      </c>
    </row>
    <row r="23" spans="2:11" ht="16.5" customHeight="1" x14ac:dyDescent="0.3">
      <c r="B23" s="144"/>
      <c r="C23" s="64"/>
      <c r="D23" s="65" t="s">
        <v>25</v>
      </c>
      <c r="E23" s="37">
        <f>(Budget!Q6*0.85)-(Budget!Q66*1.1)-Budget!Q70</f>
        <v>5636.0429378693061</v>
      </c>
      <c r="F23" s="26">
        <f>(Budget!Q6*0.9)-(Budget!Q66*1.1)-Budget!Q70</f>
        <v>6881.1329378693063</v>
      </c>
      <c r="G23" s="26">
        <f>(Budget!Q6*0.95)-(Budget!Q66*1.1)-Budget!Q70</f>
        <v>8126.2229378693064</v>
      </c>
      <c r="H23" s="38">
        <f>Budget!Q6-(Budget!Q66*1.1)-Budget!Q70</f>
        <v>9371.3129378693066</v>
      </c>
      <c r="I23" s="38">
        <f>(Budget!Q6*1.05)-(Budget!Q66*1.1)-Budget!Q70</f>
        <v>10616.402937869307</v>
      </c>
      <c r="J23" s="38">
        <f>(Budget!Q6*1.1)-(Budget!Q66*1.1)-Budget!Q70</f>
        <v>11861.49293786931</v>
      </c>
      <c r="K23" s="39">
        <f>(Budget!Q6*1.15)-(Budget!Q66*1.1)-Budget!Q70</f>
        <v>13106.582937869303</v>
      </c>
    </row>
    <row r="24" spans="2:11" ht="16.5" customHeight="1" x14ac:dyDescent="0.3">
      <c r="B24" s="145"/>
      <c r="C24" s="66"/>
      <c r="D24" s="67" t="s">
        <v>24</v>
      </c>
      <c r="E24" s="41">
        <f>(Budget!Q6*0.85)-(Budget!Q66*1.15)-Budget!Q70</f>
        <v>4952.1571623179134</v>
      </c>
      <c r="F24" s="32">
        <f>(Budget!Q6*0.9)-(Budget!Q66*1.15)-Budget!Q70</f>
        <v>6197.2471623179135</v>
      </c>
      <c r="G24" s="32">
        <f>(Budget!Q6*0.95)-(Budget!Q66*1.15)-Budget!Q70</f>
        <v>7442.3371623179137</v>
      </c>
      <c r="H24" s="42">
        <f>Budget!Q6-(Budget!Q66*1.15)-Budget!Q70</f>
        <v>8687.4271623179138</v>
      </c>
      <c r="I24" s="42">
        <f>(Budget!Q6*1.05)-(Budget!Q66*1.15)-Budget!Q70</f>
        <v>9932.517162317914</v>
      </c>
      <c r="J24" s="42">
        <f>(Budget!Q6*1.1)-(Budget!Q66*1.15)-Budget!Q70</f>
        <v>11177.607162317918</v>
      </c>
      <c r="K24" s="43">
        <f>(Budget!Q6*1.15)-(Budget!Q66*1.15)-Budget!Q70</f>
        <v>12422.697162317911</v>
      </c>
    </row>
    <row r="25" spans="2:11" ht="8.1" customHeight="1" x14ac:dyDescent="0.3">
      <c r="B25" s="6"/>
      <c r="C25" s="6"/>
      <c r="D25" s="6"/>
      <c r="E25" s="6"/>
      <c r="F25" s="6"/>
      <c r="G25" s="6"/>
      <c r="H25" s="6"/>
      <c r="I25" s="6"/>
      <c r="J25" s="6"/>
      <c r="K25" s="6"/>
    </row>
    <row r="26" spans="2:11" ht="15.6" x14ac:dyDescent="0.3">
      <c r="B26" s="136" t="s">
        <v>124</v>
      </c>
      <c r="C26" s="136"/>
      <c r="D26" s="136"/>
      <c r="E26" s="136"/>
      <c r="F26" s="136"/>
      <c r="G26" s="136"/>
      <c r="H26" s="136"/>
      <c r="I26" s="136"/>
      <c r="J26" s="136"/>
      <c r="K26" s="136"/>
    </row>
    <row r="27" spans="2:11" ht="15.6" x14ac:dyDescent="0.3">
      <c r="B27" s="138" t="s">
        <v>38</v>
      </c>
      <c r="C27" s="138"/>
      <c r="D27" s="138"/>
      <c r="E27" s="138"/>
      <c r="F27" s="138"/>
      <c r="G27" s="138"/>
      <c r="H27" s="138"/>
      <c r="I27" s="138"/>
      <c r="J27" s="138"/>
      <c r="K27" s="138"/>
    </row>
    <row r="28" spans="2:11" ht="65.55" customHeight="1" x14ac:dyDescent="0.3">
      <c r="B28" s="138" t="s">
        <v>121</v>
      </c>
      <c r="C28" s="138"/>
      <c r="D28" s="138"/>
      <c r="E28" s="138"/>
      <c r="F28" s="138"/>
      <c r="G28" s="138"/>
      <c r="H28" s="138"/>
      <c r="I28" s="138"/>
      <c r="J28" s="138"/>
      <c r="K28" s="138"/>
    </row>
    <row r="29" spans="2:11" ht="33.6" customHeight="1" x14ac:dyDescent="0.3">
      <c r="B29" s="138" t="s">
        <v>125</v>
      </c>
      <c r="C29" s="138"/>
      <c r="D29" s="138"/>
      <c r="E29" s="138"/>
      <c r="F29" s="138"/>
      <c r="G29" s="138"/>
      <c r="H29" s="138"/>
      <c r="I29" s="138"/>
      <c r="J29" s="138"/>
      <c r="K29" s="138"/>
    </row>
    <row r="30" spans="2:11" x14ac:dyDescent="0.3">
      <c r="B30" s="138"/>
      <c r="C30" s="138"/>
      <c r="D30" s="138"/>
      <c r="E30" s="138"/>
      <c r="F30" s="138"/>
      <c r="G30" s="138"/>
      <c r="H30" s="138"/>
      <c r="I30" s="138"/>
      <c r="J30" s="138"/>
      <c r="K30" s="138"/>
    </row>
    <row r="31" spans="2:11" x14ac:dyDescent="0.3">
      <c r="B31" s="138"/>
      <c r="C31" s="138"/>
      <c r="D31" s="138"/>
      <c r="E31" s="138"/>
      <c r="F31" s="138"/>
      <c r="G31" s="138"/>
      <c r="H31" s="138"/>
      <c r="I31" s="138"/>
      <c r="J31" s="138"/>
      <c r="K31" s="138"/>
    </row>
    <row r="32" spans="2:11" ht="32.549999999999997" customHeight="1" x14ac:dyDescent="0.3">
      <c r="B32" s="138" t="s">
        <v>122</v>
      </c>
      <c r="C32" s="138"/>
      <c r="D32" s="138"/>
      <c r="E32" s="138"/>
      <c r="F32" s="138"/>
      <c r="G32" s="138"/>
      <c r="H32" s="138"/>
      <c r="I32" s="138"/>
      <c r="J32" s="138"/>
      <c r="K32" s="138"/>
    </row>
    <row r="33" spans="2:11" ht="10.050000000000001" customHeight="1" x14ac:dyDescent="0.3">
      <c r="B33" s="68"/>
      <c r="C33" s="68"/>
      <c r="D33" s="68"/>
      <c r="E33" s="68"/>
      <c r="F33" s="68"/>
      <c r="G33" s="68"/>
      <c r="H33" s="68"/>
      <c r="I33" s="68"/>
      <c r="J33" s="68"/>
      <c r="K33" s="68"/>
    </row>
    <row r="34" spans="2:11" ht="15.6" x14ac:dyDescent="0.3">
      <c r="B34" s="69" t="s">
        <v>16</v>
      </c>
      <c r="C34" s="6"/>
      <c r="D34" s="6"/>
      <c r="E34" s="6"/>
      <c r="F34" s="4"/>
      <c r="G34" s="4"/>
      <c r="H34" s="4"/>
      <c r="I34" s="4"/>
      <c r="J34" s="4"/>
      <c r="K34" s="4"/>
    </row>
    <row r="35" spans="2:11" ht="15.6" x14ac:dyDescent="0.3">
      <c r="B35" s="6" t="s">
        <v>35</v>
      </c>
      <c r="C35" s="44"/>
      <c r="D35" s="44"/>
      <c r="E35" s="13">
        <v>0.06</v>
      </c>
      <c r="F35" s="6"/>
      <c r="G35" s="69"/>
      <c r="H35" s="45"/>
      <c r="I35" s="45"/>
      <c r="J35" s="45"/>
      <c r="K35" s="70"/>
    </row>
    <row r="36" spans="2:11" ht="15.6" x14ac:dyDescent="0.3">
      <c r="B36" s="6" t="s">
        <v>123</v>
      </c>
      <c r="C36" s="6"/>
      <c r="D36" s="6"/>
      <c r="E36" s="71">
        <f>(Budget!H73+Budget!K73/(1+E35)+Budget!N73/((1+E35)^2)+Budget!Q73/((1+E35)^3)+Budget!Q73/(1+E35)^4)</f>
        <v>1094.9914245375803</v>
      </c>
      <c r="F36" s="6"/>
      <c r="G36" s="68"/>
      <c r="H36" s="45"/>
      <c r="I36" s="45"/>
      <c r="J36" s="45"/>
      <c r="K36" s="71"/>
    </row>
    <row r="37" spans="2:11" ht="15.6" x14ac:dyDescent="0.3">
      <c r="B37" s="6" t="s">
        <v>36</v>
      </c>
      <c r="C37" s="6"/>
      <c r="D37" s="6"/>
      <c r="E37" s="71">
        <f>(Budget!H73+Budget!K73/(1+E35)+Budget!N73/((1+E35)^2)+Budget!Q73/((1+E35)^3)+Budget!Q73/(1+E35)^4+Budget!Q73/(1+E35)^5+Budget!Q73/(1+E35)^6+Budget!Q73/(1+E35)^7+Budget!Q73/(1+E35)^8+Budget!Q73/(1+E35)^9)</f>
        <v>36926.8774903843</v>
      </c>
      <c r="F37" s="4"/>
      <c r="G37" s="6"/>
      <c r="H37" s="6"/>
      <c r="I37" s="6"/>
      <c r="J37" s="6"/>
      <c r="K37" s="71"/>
    </row>
    <row r="38" spans="2:11" ht="15.6" x14ac:dyDescent="0.3">
      <c r="B38" s="68" t="s">
        <v>37</v>
      </c>
      <c r="C38" s="68"/>
      <c r="D38" s="71"/>
      <c r="E38" s="71">
        <f>(Budget!H73+Budget!K73/(1+E35)+Budget!N73/((1+E35)^2)+Budget!Q73/((1+E35)^3)+Budget!Q73/(1+E35)^4+Budget!Q73/(1+E35)^5+Budget!Q73/(1+E35)^6+Budget!Q73/(1+E35)^7+Budget!Q73/(1+E35)^8+Budget!Q73/(1+E35)^9+Budget!Q73/(1+E35)^10+Budget!Q73/(1+E35)^11+Budget!Q73/(1+E35)^12+Budget!Q73/(1+E35)^13+Budget!Q73/(1+E35)^14)</f>
        <v>63702.547202293645</v>
      </c>
      <c r="F38" s="4"/>
      <c r="G38" s="6"/>
      <c r="H38" s="6"/>
      <c r="I38" s="6"/>
      <c r="J38" s="6"/>
      <c r="K38" s="71"/>
    </row>
    <row r="39" spans="2:11" ht="14.55" hidden="1" customHeight="1" x14ac:dyDescent="0.3">
      <c r="B39" s="4"/>
      <c r="C39" s="4"/>
      <c r="D39" s="4"/>
      <c r="E39" s="4"/>
      <c r="F39" s="4"/>
      <c r="G39" s="4"/>
      <c r="H39" s="4"/>
      <c r="I39" s="4"/>
      <c r="J39" s="4"/>
      <c r="K39" s="4"/>
    </row>
    <row r="41" spans="2:11" ht="32.1" hidden="1" customHeight="1" x14ac:dyDescent="0.3"/>
    <row r="42" spans="2:11" ht="15.6" hidden="1" x14ac:dyDescent="0.3">
      <c r="B42" s="137"/>
      <c r="C42" s="137"/>
      <c r="D42" s="137"/>
      <c r="E42" s="137"/>
      <c r="F42" s="137"/>
      <c r="G42" s="137"/>
      <c r="H42" s="137"/>
      <c r="I42" s="137"/>
      <c r="J42" s="137"/>
      <c r="K42" s="137"/>
    </row>
    <row r="43" spans="2:11" ht="15.6" hidden="1" x14ac:dyDescent="0.3">
      <c r="B43" s="137"/>
      <c r="C43" s="137"/>
      <c r="D43" s="137"/>
      <c r="E43" s="137"/>
      <c r="F43" s="137"/>
      <c r="G43" s="137"/>
      <c r="H43" s="137"/>
      <c r="I43" s="137"/>
      <c r="J43" s="137"/>
      <c r="K43" s="137"/>
    </row>
    <row r="44" spans="2:11" ht="15.6" hidden="1" x14ac:dyDescent="0.3">
      <c r="B44" s="8"/>
      <c r="C44" s="8"/>
      <c r="D44" s="8"/>
      <c r="E44" s="8"/>
      <c r="F44" s="8"/>
      <c r="G44" s="8"/>
      <c r="H44" s="8"/>
      <c r="I44" s="8"/>
      <c r="J44" s="8"/>
      <c r="K44" s="8"/>
    </row>
    <row r="45" spans="2:11" ht="15.6" hidden="1" x14ac:dyDescent="0.3">
      <c r="G45" s="7"/>
      <c r="H45" s="7"/>
      <c r="I45" s="7"/>
      <c r="J45" s="7"/>
      <c r="K45" s="7"/>
    </row>
    <row r="46" spans="2:11" ht="15.6" hidden="1" x14ac:dyDescent="0.3">
      <c r="G46" s="7"/>
      <c r="H46" s="7"/>
      <c r="I46" s="7"/>
      <c r="J46" s="7"/>
      <c r="K46" s="7"/>
    </row>
    <row r="47" spans="2:11" ht="15.6" hidden="1" x14ac:dyDescent="0.3">
      <c r="G47" s="7"/>
      <c r="H47" s="7"/>
      <c r="I47" s="7"/>
      <c r="J47" s="7"/>
      <c r="K47" s="7"/>
    </row>
    <row r="48" spans="2:11" ht="15.6" hidden="1" x14ac:dyDescent="0.3">
      <c r="G48" s="7"/>
      <c r="H48" s="7"/>
      <c r="I48" s="7"/>
      <c r="J48" s="7"/>
      <c r="K48" s="7"/>
    </row>
    <row r="49" spans="7:11" ht="15.6" hidden="1" x14ac:dyDescent="0.3">
      <c r="G49" s="7"/>
      <c r="H49" s="7"/>
      <c r="I49" s="7"/>
      <c r="J49" s="7"/>
      <c r="K49" s="7"/>
    </row>
  </sheetData>
  <sheetProtection sheet="1" objects="1" scenarios="1"/>
  <mergeCells count="15">
    <mergeCell ref="B1:K1"/>
    <mergeCell ref="B14:K14"/>
    <mergeCell ref="B42:K42"/>
    <mergeCell ref="B43:K43"/>
    <mergeCell ref="B29:K31"/>
    <mergeCell ref="B26:K26"/>
    <mergeCell ref="B6:B12"/>
    <mergeCell ref="E16:K16"/>
    <mergeCell ref="B18:B24"/>
    <mergeCell ref="B27:K27"/>
    <mergeCell ref="B2:K2"/>
    <mergeCell ref="B15:K15"/>
    <mergeCell ref="B28:K28"/>
    <mergeCell ref="B32:K32"/>
    <mergeCell ref="E3:K3"/>
  </mergeCells>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5" ma:contentTypeDescription="Create a new document." ma:contentTypeScope="" ma:versionID="e7135de11d12d073d7a6ede4b04666d3">
  <xsd:schema xmlns:xsd="http://www.w3.org/2001/XMLSchema" xmlns:xs="http://www.w3.org/2001/XMLSchema" xmlns:p="http://schemas.microsoft.com/office/2006/metadata/properties" xmlns:ns2="afeaba0f-363c-487a-9eab-504fb0ae0068" xmlns:ns3="3cf54786-5cbe-4eed-9d82-be7bae57988e" targetNamespace="http://schemas.microsoft.com/office/2006/metadata/properties" ma:root="true" ma:fieldsID="153500833204045ca796943900e2c449" ns2:_="" ns3:_="">
    <xsd:import namespace="afeaba0f-363c-487a-9eab-504fb0ae0068"/>
    <xsd:import namespace="3cf54786-5cbe-4eed-9d82-be7bae5798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560828-92f4-433d-b2dd-f0bd0e5db71c}"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Props1.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2.xml><?xml version="1.0" encoding="utf-8"?>
<ds:datastoreItem xmlns:ds="http://schemas.openxmlformats.org/officeDocument/2006/customXml" ds:itemID="{40C5FB2E-A975-4361-AC71-F1F257ACC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eaba0f-363c-487a-9eab-504fb0ae0068"/>
    <ds:schemaRef ds:uri="3cf54786-5cbe-4eed-9d82-be7bae579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Jackson, Lauren</cp:lastModifiedBy>
  <cp:revision/>
  <cp:lastPrinted>2025-08-19T17:17:40Z</cp:lastPrinted>
  <dcterms:created xsi:type="dcterms:W3CDTF">2020-07-30T17:48:44Z</dcterms:created>
  <dcterms:modified xsi:type="dcterms:W3CDTF">2025-11-05T17:49:09Z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y fmtid="{D5CDD505-2E9C-101B-9397-08002B2CF9AE}" pid="3" name="MediaServiceImageTags">
    <vt:lpwstr/>
  </property>
</Properties>
</file>