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ailmissouri-my.sharepoint.com/personal/jacksonla_umsystem_edu/Documents/Desktop/Desktop 3-28/Website/FruitsandVeggies Project/New spreadsheets Sept 2025/"/>
    </mc:Choice>
  </mc:AlternateContent>
  <xr:revisionPtr revIDLastSave="1722" documentId="8_{17EA8F40-1BFD-4775-B660-129718E3041E}" xr6:coauthVersionLast="47" xr6:coauthVersionMax="47" xr10:uidLastSave="{58FE30A6-2104-4791-BD12-089ABD8F261C}"/>
  <bookViews>
    <workbookView xWindow="5064" yWindow="840" windowWidth="17328" windowHeight="10296"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2">'Financial Sensitivity'!$B$1:$K$38</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H5" i="4"/>
  <c r="Q44" i="1" l="1"/>
  <c r="Q45" i="1"/>
  <c r="Q46" i="1"/>
  <c r="Q47" i="1"/>
  <c r="Q48" i="1"/>
  <c r="Q49" i="1"/>
  <c r="Q50" i="1"/>
  <c r="Q51" i="1"/>
  <c r="Q52" i="1"/>
  <c r="Q53" i="1"/>
  <c r="Q54" i="1"/>
  <c r="Q55" i="1"/>
  <c r="Q56" i="1"/>
  <c r="N44" i="1"/>
  <c r="N45" i="1"/>
  <c r="N46" i="1"/>
  <c r="N47" i="1"/>
  <c r="N48" i="1"/>
  <c r="N49" i="1"/>
  <c r="N50" i="1"/>
  <c r="N51" i="1"/>
  <c r="N52" i="1"/>
  <c r="N53" i="1"/>
  <c r="N54" i="1"/>
  <c r="N55" i="1"/>
  <c r="N56" i="1"/>
  <c r="K44" i="1"/>
  <c r="K45" i="1"/>
  <c r="K46" i="1"/>
  <c r="K47" i="1"/>
  <c r="K48" i="1"/>
  <c r="K49" i="1"/>
  <c r="K50" i="1"/>
  <c r="K51" i="1"/>
  <c r="K52" i="1"/>
  <c r="K53" i="1"/>
  <c r="K54" i="1"/>
  <c r="K55" i="1"/>
  <c r="K56" i="1"/>
  <c r="H44" i="1"/>
  <c r="H45" i="1"/>
  <c r="H46" i="1"/>
  <c r="H47" i="1"/>
  <c r="H48" i="1"/>
  <c r="H49" i="1"/>
  <c r="H50" i="1"/>
  <c r="H51" i="1"/>
  <c r="H52" i="1"/>
  <c r="H53" i="1"/>
  <c r="H54" i="1"/>
  <c r="H55" i="1"/>
  <c r="H56" i="1"/>
  <c r="Q42" i="1"/>
  <c r="N42" i="1"/>
  <c r="K42" i="1"/>
  <c r="H42" i="1"/>
  <c r="Q39" i="1"/>
  <c r="Q40" i="1"/>
  <c r="N39" i="1"/>
  <c r="N40" i="1"/>
  <c r="K39" i="1"/>
  <c r="K40" i="1"/>
  <c r="H39" i="1"/>
  <c r="H40" i="1"/>
  <c r="Q36" i="1"/>
  <c r="Q37" i="1"/>
  <c r="N36" i="1"/>
  <c r="N37" i="1"/>
  <c r="K36" i="1"/>
  <c r="K37" i="1"/>
  <c r="H36" i="1"/>
  <c r="H37" i="1"/>
  <c r="H33" i="1"/>
  <c r="K33" i="1"/>
  <c r="K32" i="1"/>
  <c r="N33" i="1"/>
  <c r="N32" i="1"/>
  <c r="Q33" i="1"/>
  <c r="Q32" i="1"/>
  <c r="Q28" i="1"/>
  <c r="Q29" i="1"/>
  <c r="Q30" i="1"/>
  <c r="N28" i="1"/>
  <c r="N29" i="1"/>
  <c r="N30" i="1"/>
  <c r="K28" i="1"/>
  <c r="K29" i="1"/>
  <c r="K30" i="1"/>
  <c r="Q20" i="1"/>
  <c r="Q21" i="1"/>
  <c r="Q22" i="1"/>
  <c r="Q23" i="1"/>
  <c r="Q25" i="1"/>
  <c r="Q26" i="1"/>
  <c r="N20" i="1"/>
  <c r="N21" i="1"/>
  <c r="N22" i="1"/>
  <c r="N23" i="1"/>
  <c r="N25" i="1"/>
  <c r="N26" i="1"/>
  <c r="K20" i="1"/>
  <c r="K21" i="1"/>
  <c r="K22" i="1"/>
  <c r="K23" i="1"/>
  <c r="K25" i="1"/>
  <c r="K26" i="1"/>
  <c r="H20" i="1"/>
  <c r="H21" i="1"/>
  <c r="H22" i="1"/>
  <c r="H23" i="1"/>
  <c r="H25" i="1"/>
  <c r="H26" i="1"/>
  <c r="H28" i="1"/>
  <c r="H29" i="1"/>
  <c r="H30" i="1"/>
  <c r="Q15" i="1"/>
  <c r="Q16" i="1"/>
  <c r="Q17" i="1"/>
  <c r="Q18" i="1"/>
  <c r="N15" i="1"/>
  <c r="N16" i="1"/>
  <c r="N17" i="1"/>
  <c r="N18" i="1"/>
  <c r="K15" i="1"/>
  <c r="K16" i="1"/>
  <c r="K17" i="1"/>
  <c r="K18" i="1"/>
  <c r="H15" i="1"/>
  <c r="H16" i="1"/>
  <c r="H17" i="1"/>
  <c r="H18" i="1"/>
  <c r="Q13" i="1"/>
  <c r="N13" i="1"/>
  <c r="K13" i="1"/>
  <c r="H13" i="1"/>
  <c r="Q10" i="1"/>
  <c r="Q11" i="1"/>
  <c r="Q12" i="1"/>
  <c r="Q9" i="1"/>
  <c r="N10" i="1"/>
  <c r="N11" i="1"/>
  <c r="K10" i="1"/>
  <c r="K11" i="1"/>
  <c r="H10" i="1"/>
  <c r="H11" i="1"/>
  <c r="N12" i="1" l="1"/>
  <c r="K12" i="1"/>
  <c r="H12" i="1"/>
  <c r="H9" i="1"/>
  <c r="H32" i="1"/>
  <c r="Q61" i="1"/>
  <c r="N61" i="1"/>
  <c r="K61" i="1"/>
  <c r="H61" i="1"/>
  <c r="Q60" i="1"/>
  <c r="N60" i="1"/>
  <c r="K60" i="1"/>
  <c r="H60" i="1"/>
  <c r="H8" i="1"/>
  <c r="I5" i="4" l="1"/>
  <c r="J5" i="4" l="1"/>
  <c r="K5" i="4"/>
  <c r="G5" i="4"/>
  <c r="F5" i="4"/>
  <c r="E5" i="4"/>
  <c r="D8" i="4"/>
  <c r="D10" i="4"/>
  <c r="D11" i="4"/>
  <c r="D7" i="4"/>
  <c r="D12" i="4"/>
  <c r="D6" i="4"/>
  <c r="Q62" i="1" l="1"/>
  <c r="N62" i="1"/>
  <c r="K62" i="1"/>
  <c r="H62" i="1"/>
  <c r="Q35" i="1" l="1"/>
  <c r="N35" i="1"/>
  <c r="K35" i="1"/>
  <c r="H35" i="1"/>
  <c r="Q31" i="1"/>
  <c r="N31" i="1"/>
  <c r="K31" i="1"/>
  <c r="H31" i="1"/>
  <c r="N9" i="1"/>
  <c r="K9" i="1"/>
  <c r="Q8" i="1"/>
  <c r="N8" i="1"/>
  <c r="K8" i="1"/>
  <c r="Q5" i="1"/>
  <c r="N5" i="1"/>
  <c r="K5" i="1"/>
  <c r="H5" i="1"/>
  <c r="Q6" i="1" l="1"/>
  <c r="N6" i="1"/>
  <c r="K6" i="1"/>
  <c r="H6" i="1"/>
  <c r="J41" i="1" l="1"/>
  <c r="K41" i="1" s="1"/>
  <c r="K57" i="1" s="1"/>
  <c r="P41" i="1"/>
  <c r="Q41" i="1" s="1"/>
  <c r="Q57" i="1" s="1"/>
  <c r="M41" i="1"/>
  <c r="N41" i="1" s="1"/>
  <c r="N57" i="1" s="1"/>
  <c r="G41" i="1"/>
  <c r="H41" i="1" s="1"/>
  <c r="H57" i="1" s="1"/>
  <c r="H58" i="1" l="1"/>
  <c r="H63" i="1" s="1"/>
  <c r="N58" i="1"/>
  <c r="N63" i="1" s="1"/>
  <c r="N65" i="1" s="1"/>
  <c r="Q58" i="1" l="1"/>
  <c r="K58" i="1"/>
  <c r="K63" i="1" s="1"/>
  <c r="K65" i="1" s="1"/>
  <c r="H65" i="1"/>
  <c r="H64" i="1"/>
  <c r="N64" i="1"/>
  <c r="I21" i="4" l="1"/>
  <c r="H19" i="4"/>
  <c r="I20" i="4"/>
  <c r="K18" i="4"/>
  <c r="I19" i="4"/>
  <c r="J18" i="4"/>
  <c r="F24" i="4"/>
  <c r="J20" i="4"/>
  <c r="J19" i="4"/>
  <c r="K19" i="4"/>
  <c r="K20" i="4"/>
  <c r="K22" i="4"/>
  <c r="K23" i="4"/>
  <c r="K24" i="4"/>
  <c r="G20" i="4"/>
  <c r="E20" i="4"/>
  <c r="I24" i="4"/>
  <c r="H22" i="4"/>
  <c r="H21" i="4"/>
  <c r="G24" i="4"/>
  <c r="J24" i="4"/>
  <c r="I18" i="4"/>
  <c r="G23" i="4"/>
  <c r="J23" i="4"/>
  <c r="H18" i="4"/>
  <c r="G22" i="4"/>
  <c r="J22" i="4"/>
  <c r="G18" i="4"/>
  <c r="J21" i="4"/>
  <c r="F18" i="4"/>
  <c r="F23" i="4"/>
  <c r="E18" i="4"/>
  <c r="F22" i="4"/>
  <c r="G21" i="4"/>
  <c r="F21" i="4"/>
  <c r="F20" i="4"/>
  <c r="F19" i="4"/>
  <c r="E24" i="4"/>
  <c r="E23" i="4"/>
  <c r="E22" i="4"/>
  <c r="E21" i="4"/>
  <c r="G19" i="4"/>
  <c r="H20" i="4"/>
  <c r="E19" i="4"/>
  <c r="H24" i="4"/>
  <c r="H23" i="4"/>
  <c r="I23" i="4"/>
  <c r="I22" i="4"/>
  <c r="K21" i="4"/>
  <c r="Q63" i="1"/>
  <c r="Q64" i="1"/>
  <c r="K64" i="1"/>
  <c r="Q65" i="1" l="1"/>
  <c r="E36" i="4" s="1"/>
  <c r="H9" i="4"/>
  <c r="I9" i="4"/>
  <c r="E9" i="4"/>
  <c r="G10" i="4"/>
  <c r="G8" i="4"/>
  <c r="F9" i="4"/>
  <c r="F10" i="4"/>
  <c r="F8" i="4"/>
  <c r="G9" i="4"/>
  <c r="E10" i="4"/>
  <c r="E8" i="4"/>
  <c r="K10" i="4"/>
  <c r="J9" i="4"/>
  <c r="K6" i="4"/>
  <c r="K12" i="4"/>
  <c r="J6" i="4"/>
  <c r="I12" i="4"/>
  <c r="H12" i="4"/>
  <c r="H6" i="4"/>
  <c r="G12" i="4"/>
  <c r="G6" i="4"/>
  <c r="F12" i="4"/>
  <c r="E12" i="4"/>
  <c r="E6" i="4"/>
  <c r="H7" i="4"/>
  <c r="J11" i="4"/>
  <c r="I11" i="4"/>
  <c r="F7" i="4"/>
  <c r="H11" i="4"/>
  <c r="F11" i="4"/>
  <c r="I7" i="4"/>
  <c r="K7" i="4"/>
  <c r="G11" i="4"/>
  <c r="K8" i="4"/>
  <c r="J8" i="4"/>
  <c r="I8" i="4"/>
  <c r="H10" i="4"/>
  <c r="I6" i="4"/>
  <c r="J12" i="4"/>
  <c r="K9" i="4"/>
  <c r="F6" i="4"/>
  <c r="K11" i="4"/>
  <c r="G7" i="4"/>
  <c r="E7" i="4"/>
  <c r="E11" i="4"/>
  <c r="J7" i="4"/>
  <c r="J10" i="4"/>
  <c r="I10" i="4"/>
  <c r="H8" i="4"/>
  <c r="E38" i="4" l="1"/>
  <c r="E37" i="4"/>
</calcChain>
</file>

<file path=xl/sharedStrings.xml><?xml version="1.0" encoding="utf-8"?>
<sst xmlns="http://schemas.openxmlformats.org/spreadsheetml/2006/main" count="200" uniqueCount="125">
  <si>
    <t>Updated: 1/2025</t>
  </si>
  <si>
    <t>This worksheet is for educational purposes only and the user assumes all risks associated with its use.</t>
  </si>
  <si>
    <t>Revenue</t>
  </si>
  <si>
    <t>Unit</t>
  </si>
  <si>
    <t>Price
per unit</t>
  </si>
  <si>
    <t xml:space="preserve"> Quantity</t>
  </si>
  <si>
    <t>Dollars 
per acre</t>
  </si>
  <si>
    <t>Dollars
per acre</t>
  </si>
  <si>
    <t>each</t>
  </si>
  <si>
    <t>soil test</t>
  </si>
  <si>
    <t>acre</t>
  </si>
  <si>
    <t>pound</t>
  </si>
  <si>
    <t>feet</t>
  </si>
  <si>
    <t>percent</t>
  </si>
  <si>
    <t>Total costs</t>
  </si>
  <si>
    <t>Return over total costs</t>
  </si>
  <si>
    <t>Net present value of net returns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</si>
  <si>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</si>
  <si>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</si>
  <si>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</si>
  <si>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</si>
  <si>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</si>
  <si>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</si>
  <si>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</si>
  <si>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</si>
  <si>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</si>
  <si>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</si>
  <si>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</si>
  <si>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</si>
  <si>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</si>
  <si>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</si>
  <si>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</si>
  <si>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</si>
  <si>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</si>
  <si>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</si>
  <si>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Required rate of return</t>
  </si>
  <si>
    <t xml:space="preserve">  NPV years 1-10</t>
  </si>
  <si>
    <t xml:space="preserve">  NPV years 1-15</t>
  </si>
  <si>
    <t xml:space="preserve">Will this business be profitable? Explore profitability with net present values and average returns per year. </t>
  </si>
  <si>
    <t>Develop a customized budget by adjusting the assumptions in gray cells to match the management practices and expected yields and prices for your farm.</t>
  </si>
  <si>
    <t xml:space="preserve">Explore estimated annual per acre returns over total costs under varying revenue and cost scenarios in full production. </t>
  </si>
  <si>
    <t>% of sales</t>
  </si>
  <si>
    <t xml:space="preserve">Budget created by Peter Zimmel, Food and Agricultural Policy Institute (FAPRI). Prices were updated January 2025. Access online at muext.us/MissouriAgBudgets. </t>
  </si>
  <si>
    <t>month</t>
  </si>
  <si>
    <t>bushel</t>
  </si>
  <si>
    <t>hour</t>
  </si>
  <si>
    <t xml:space="preserve">Blackberry Enterprise Budget for Missouri </t>
  </si>
  <si>
    <t>Blackberry Enterprise Budget</t>
  </si>
  <si>
    <t>This budget models a 1-acre open field production of blackberries from establishment through 13 years of production. The perennial crop is assumed to reach full yield potential in year 4. Continual production is modeled through 15 years to discuss average returns per year and net present value of returns.</t>
  </si>
  <si>
    <t>Year 1  
site preparation</t>
  </si>
  <si>
    <t>Year 2 
planting year</t>
  </si>
  <si>
    <t>Year 3 
year after planting</t>
  </si>
  <si>
    <t>Year 4-15
 full production</t>
  </si>
  <si>
    <t>bale</t>
  </si>
  <si>
    <t>ton</t>
  </si>
  <si>
    <t>gallon</t>
  </si>
  <si>
    <t>ounce</t>
  </si>
  <si>
    <t>Labor</t>
  </si>
  <si>
    <t>Packaging</t>
  </si>
  <si>
    <t>Urea</t>
  </si>
  <si>
    <t>Phosphate</t>
  </si>
  <si>
    <t>Potash</t>
  </si>
  <si>
    <t>Lime</t>
  </si>
  <si>
    <t>Captan 80W</t>
  </si>
  <si>
    <t>Elevate 50WDG</t>
  </si>
  <si>
    <t>Lime sulfur</t>
  </si>
  <si>
    <t>Pristine 38WDG</t>
  </si>
  <si>
    <t>Assail 30SG</t>
  </si>
  <si>
    <t>Provado 1.6F</t>
  </si>
  <si>
    <t>Devironol W</t>
  </si>
  <si>
    <t>Princep 90DF</t>
  </si>
  <si>
    <t>Surflan AS</t>
  </si>
  <si>
    <t>General labor</t>
  </si>
  <si>
    <t>Harvest labor</t>
  </si>
  <si>
    <t>Other labor</t>
  </si>
  <si>
    <t>Plastic clamshells</t>
  </si>
  <si>
    <t>Flats</t>
  </si>
  <si>
    <t xml:space="preserve">Marketing </t>
  </si>
  <si>
    <t>Fresh berry sales</t>
  </si>
  <si>
    <t>Plants</t>
  </si>
  <si>
    <t>Soil test</t>
  </si>
  <si>
    <t>Oats seed (cover crop)</t>
  </si>
  <si>
    <t>Annual ryegrass (cover crop)</t>
  </si>
  <si>
    <t>Grass seed</t>
  </si>
  <si>
    <t>Straw mulch</t>
  </si>
  <si>
    <t>Fertilizer/lime</t>
  </si>
  <si>
    <t>Fungicides</t>
  </si>
  <si>
    <t>Insecticides</t>
  </si>
  <si>
    <t>Herbicides</t>
  </si>
  <si>
    <t>Drip tape</t>
  </si>
  <si>
    <t>Irrigation</t>
  </si>
  <si>
    <t>Plant analysis kit</t>
  </si>
  <si>
    <t>Interest on operating capital</t>
  </si>
  <si>
    <t xml:space="preserve">Refrigeration </t>
  </si>
  <si>
    <t>Sub-soiler</t>
  </si>
  <si>
    <t>Chisel plow</t>
  </si>
  <si>
    <t>Tandem disk</t>
  </si>
  <si>
    <t>Drill</t>
  </si>
  <si>
    <t>Disk bed</t>
  </si>
  <si>
    <t>Harrow</t>
  </si>
  <si>
    <t>Sprayer</t>
  </si>
  <si>
    <t>Broadcast seeder</t>
  </si>
  <si>
    <t>Side-dresser</t>
  </si>
  <si>
    <t>Lime application</t>
  </si>
  <si>
    <t>Air blast sprayer</t>
  </si>
  <si>
    <t>Sickle-bar cutter</t>
  </si>
  <si>
    <t>Mower</t>
  </si>
  <si>
    <t>trip</t>
  </si>
  <si>
    <t>Machinery fuel/repairs/maintenance</t>
  </si>
  <si>
    <t>Land</t>
  </si>
  <si>
    <t>Pounds per acre</t>
  </si>
  <si>
    <t>Price per pound</t>
  </si>
  <si>
    <t>Blackberry Price and Yield Sensitivity Table</t>
  </si>
  <si>
    <r>
      <rPr>
        <b/>
        <sz val="12"/>
        <color theme="1"/>
        <rFont val="Aptos"/>
        <family val="2"/>
        <scheme val="minor"/>
      </rPr>
      <t xml:space="preserve">The required rate of return </t>
    </r>
    <r>
      <rPr>
        <sz val="12"/>
        <color theme="1"/>
        <rFont val="Aptos"/>
        <family val="2"/>
        <scheme val="minor"/>
      </rPr>
      <t>reflects</t>
    </r>
    <r>
      <rPr>
        <b/>
        <sz val="12"/>
        <color theme="1"/>
        <rFont val="Aptos"/>
        <family val="2"/>
        <scheme val="minor"/>
      </rPr>
      <t xml:space="preserve"> </t>
    </r>
    <r>
      <rPr>
        <sz val="12"/>
        <color theme="1"/>
        <rFont val="Aptos"/>
        <family val="2"/>
        <scheme val="minor"/>
      </rPr>
      <t xml:space="preserve">the opportunity cost of capital, the desired rate of return, riskiness of the investment and allows you to compare potential financial performance of investing in an blackberry orchard to other investments. It is used to calculate a discount rate in the NPV formula which also accounts for the time value of money (assuming inflation continues - dollars received in the future are worth less than dollars received today). </t>
    </r>
  </si>
  <si>
    <t xml:space="preserve">  NPV years 1-8</t>
  </si>
  <si>
    <r>
      <rPr>
        <b/>
        <sz val="12"/>
        <color theme="1"/>
        <rFont val="Aptos"/>
        <family val="2"/>
        <scheme val="minor"/>
      </rPr>
      <t>Breakeven:</t>
    </r>
    <r>
      <rPr>
        <sz val="12"/>
        <color theme="1"/>
        <rFont val="Aptos"/>
        <family val="2"/>
        <scheme val="minor"/>
      </rPr>
      <t xml:space="preserve"> The modeled 1 acre blackberry farm is expected to 'breakeven' (cover investment and operating costs) in year 8 (NPV becomes positive). </t>
    </r>
  </si>
  <si>
    <t>Average Returns Per Year and Net Present Values in Years 8, 10 and 15</t>
  </si>
  <si>
    <r>
      <t>The</t>
    </r>
    <r>
      <rPr>
        <b/>
        <sz val="12"/>
        <color theme="1"/>
        <rFont val="Aptos"/>
        <family val="2"/>
        <scheme val="minor"/>
      </rPr>
      <t xml:space="preserve"> Net Present Value of net returns (NPV)</t>
    </r>
    <r>
      <rPr>
        <sz val="12"/>
        <color theme="1"/>
        <rFont val="Aptos"/>
        <family val="2"/>
        <scheme val="minor"/>
      </rPr>
      <t xml:space="preserve"> calculates the value of expected cash flows after subtracting intial investment costs over a period discounted to the present. Positive NPVs indicate the business is profitable. For example based on the existing model assumptions, 15 years after establishment the blackberry orchard is expected to return $14,412.43 in today's dollars factoring in a 6% required rate of return.</t>
    </r>
  </si>
  <si>
    <t>Explore annual profitability expectations (per acre returns over total costs) under varying yield and price scenarios in full production and holding costs constant. Modify gray cells for further exploration.</t>
  </si>
  <si>
    <t xml:space="preserve">For budget questions, contact: </t>
  </si>
  <si>
    <t>Ryan Milhollin, MU Extension</t>
  </si>
  <si>
    <t xml:space="preserve">For horticulture expertise, contact: </t>
  </si>
  <si>
    <t>MU Commercial Horticulture Team</t>
  </si>
  <si>
    <t>Developed by: Peter Zimmel, FAPRI</t>
  </si>
  <si>
    <t>Blackberry Operating Costs and Revenue Sensitivity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</si>
</sst>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s>
  <fonts count="25" x14ac:knownFonts="1">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b/>
      <sz val="12"/>
      <color theme="1"/>
      <name val="Aptos"/>
      <family val="2"/>
      <scheme val="minor"/>
    </font>
    <font>
      <b/>
      <sz val="12"/>
      <color rgb="FFFDB719"/>
      <name val="Aptos Black"/>
      <family val="2"/>
      <scheme val="major"/>
    </font>
    <font>
      <b/>
      <sz val="11"/>
      <name val="Aptos"/>
      <family val="2"/>
      <scheme val="minor"/>
    </font>
    <font>
      <u/>
      <sz val="11"/>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u/>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b/>
      <sz val="12"/>
      <color rgb="FFF1B82D"/>
      <name val="Aptos Black"/>
      <family val="2"/>
      <scheme val="major"/>
    </font>
    <font>
      <u/>
      <sz val="11"/>
      <color theme="10"/>
      <name val="Aptos"/>
      <family val="2"/>
      <scheme val="minor"/>
    </font>
    <font>
      <b/>
      <u/>
      <sz val="12"/>
      <color theme="10"/>
      <name val="Aptos"/>
      <family val="2"/>
      <scheme val="minor"/>
    </font>
  </fonts>
  <fills count="7">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
      <patternFill patternType="solid">
        <fgColor theme="7"/>
        <bgColor indexed="64"/>
      </patternFill>
    </fill>
  </fills>
  <borders count="29">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6">
    <xf numFmtId="0" fontId="0" fillId="0" borderId="0"/>
    <xf numFmtId="9" fontId="1" fillId="0" borderId="0" applyFont="0" applyFill="0" applyBorder="0" applyAlignment="0" applyProtection="0"/>
    <xf numFmtId="0" fontId="9" fillId="4" borderId="4" applyNumberFormat="0" applyAlignment="0" applyProtection="0"/>
    <xf numFmtId="0" fontId="1" fillId="0" borderId="0"/>
    <xf numFmtId="44" fontId="1" fillId="0" borderId="0" applyFont="0" applyFill="0" applyBorder="0" applyAlignment="0" applyProtection="0"/>
    <xf numFmtId="0" fontId="23" fillId="0" borderId="0" applyNumberFormat="0" applyFill="0" applyBorder="0" applyAlignment="0" applyProtection="0"/>
  </cellStyleXfs>
  <cellXfs count="151">
    <xf numFmtId="0" fontId="0" fillId="0" borderId="0" xfId="0"/>
    <xf numFmtId="0" fontId="2" fillId="0" borderId="0" xfId="0" applyFont="1"/>
    <xf numFmtId="0" fontId="10" fillId="5" borderId="0" xfId="0" applyFont="1" applyFill="1"/>
    <xf numFmtId="0" fontId="10" fillId="0" borderId="0" xfId="0" applyFont="1"/>
    <xf numFmtId="0" fontId="0" fillId="5" borderId="0" xfId="0" applyFill="1"/>
    <xf numFmtId="0" fontId="3" fillId="5" borderId="0" xfId="0" applyFont="1" applyFill="1" applyAlignment="1">
      <alignment horizontal="left" indent="4"/>
    </xf>
    <xf numFmtId="0" fontId="12" fillId="5" borderId="0" xfId="0" applyFont="1" applyFill="1"/>
    <xf numFmtId="0" fontId="12" fillId="0" borderId="0" xfId="0" applyFont="1"/>
    <xf numFmtId="0" fontId="12" fillId="0" borderId="0" xfId="0" applyFont="1" applyAlignment="1">
      <alignment wrapText="1"/>
    </xf>
    <xf numFmtId="0" fontId="4" fillId="5" borderId="0" xfId="0" applyFont="1" applyFill="1"/>
    <xf numFmtId="0" fontId="15" fillId="0" borderId="0" xfId="0" applyFont="1"/>
    <xf numFmtId="164" fontId="12" fillId="2" borderId="0" xfId="4" applyNumberFormat="1" applyFont="1" applyFill="1" applyProtection="1">
      <protection locked="0"/>
    </xf>
    <xf numFmtId="166" fontId="12" fillId="2" borderId="0" xfId="0" applyNumberFormat="1" applyFont="1" applyFill="1" applyProtection="1">
      <protection locked="0"/>
    </xf>
    <xf numFmtId="9" fontId="12" fillId="2" borderId="0" xfId="1" applyFont="1" applyFill="1" applyProtection="1">
      <protection locked="0"/>
    </xf>
    <xf numFmtId="10" fontId="12" fillId="2" borderId="0" xfId="0" applyNumberFormat="1" applyFont="1" applyFill="1" applyProtection="1">
      <protection locked="0"/>
    </xf>
    <xf numFmtId="164" fontId="12" fillId="2" borderId="0" xfId="0" applyNumberFormat="1" applyFont="1" applyFill="1" applyProtection="1">
      <protection locked="0"/>
    </xf>
    <xf numFmtId="165" fontId="12" fillId="2" borderId="0" xfId="0" applyNumberFormat="1" applyFont="1" applyFill="1" applyProtection="1">
      <protection locked="0"/>
    </xf>
    <xf numFmtId="0" fontId="12" fillId="2" borderId="0" xfId="0" applyFont="1" applyFill="1" applyProtection="1">
      <protection locked="0"/>
    </xf>
    <xf numFmtId="0" fontId="0" fillId="0" borderId="2" xfId="0" applyBorder="1"/>
    <xf numFmtId="0" fontId="0" fillId="0" borderId="11" xfId="0" applyBorder="1"/>
    <xf numFmtId="3" fontId="12" fillId="2" borderId="1" xfId="0" applyNumberFormat="1" applyFont="1" applyFill="1" applyBorder="1" applyProtection="1">
      <protection locked="0"/>
    </xf>
    <xf numFmtId="7" fontId="12" fillId="2" borderId="22" xfId="4" applyNumberFormat="1" applyFont="1" applyFill="1" applyBorder="1" applyAlignment="1" applyProtection="1">
      <alignment horizontal="center"/>
      <protection locked="0"/>
    </xf>
    <xf numFmtId="7" fontId="12" fillId="0" borderId="21" xfId="4" applyNumberFormat="1" applyFont="1" applyBorder="1" applyAlignment="1" applyProtection="1">
      <alignment horizontal="center"/>
    </xf>
    <xf numFmtId="6" fontId="18" fillId="0" borderId="16" xfId="4" applyNumberFormat="1" applyFont="1" applyBorder="1" applyProtection="1"/>
    <xf numFmtId="6" fontId="18" fillId="0" borderId="11" xfId="4" applyNumberFormat="1" applyFont="1" applyBorder="1" applyProtection="1"/>
    <xf numFmtId="6" fontId="12" fillId="0" borderId="11" xfId="4" applyNumberFormat="1" applyFont="1" applyBorder="1" applyProtection="1"/>
    <xf numFmtId="6" fontId="12" fillId="0" borderId="18" xfId="4" applyNumberFormat="1" applyFont="1" applyBorder="1" applyProtection="1"/>
    <xf numFmtId="7" fontId="12" fillId="0" borderId="22" xfId="4" applyNumberFormat="1" applyFont="1" applyBorder="1" applyAlignment="1" applyProtection="1">
      <alignment horizontal="center"/>
    </xf>
    <xf numFmtId="6" fontId="18" fillId="0" borderId="12" xfId="4" applyNumberFormat="1" applyFont="1" applyBorder="1" applyProtection="1"/>
    <xf numFmtId="6" fontId="18" fillId="0" borderId="0" xfId="4" applyNumberFormat="1" applyFont="1" applyBorder="1" applyProtection="1"/>
    <xf numFmtId="6" fontId="12" fillId="0" borderId="0" xfId="4" applyNumberFormat="1" applyFont="1" applyBorder="1" applyProtection="1"/>
    <xf numFmtId="6" fontId="12" fillId="0" borderId="13" xfId="4" applyNumberFormat="1" applyFont="1" applyBorder="1" applyProtection="1"/>
    <xf numFmtId="6" fontId="12" fillId="0" borderId="20" xfId="4" applyNumberFormat="1" applyFont="1" applyBorder="1" applyProtection="1"/>
    <xf numFmtId="7" fontId="12" fillId="0" borderId="23" xfId="4" applyNumberFormat="1" applyFont="1" applyBorder="1" applyAlignment="1" applyProtection="1">
      <alignment horizontal="center"/>
    </xf>
    <xf numFmtId="6" fontId="18" fillId="0" borderId="15" xfId="4" applyNumberFormat="1" applyFont="1" applyBorder="1" applyProtection="1"/>
    <xf numFmtId="6" fontId="18" fillId="0" borderId="2" xfId="4" applyNumberFormat="1" applyFont="1" applyBorder="1" applyProtection="1"/>
    <xf numFmtId="6" fontId="12" fillId="0" borderId="2" xfId="4" applyNumberFormat="1" applyFont="1" applyBorder="1" applyProtection="1"/>
    <xf numFmtId="6" fontId="12" fillId="0" borderId="14" xfId="4" applyNumberFormat="1" applyFont="1" applyBorder="1" applyProtection="1"/>
    <xf numFmtId="6" fontId="12" fillId="0" borderId="16" xfId="4" applyNumberFormat="1" applyFont="1" applyBorder="1" applyProtection="1"/>
    <xf numFmtId="6" fontId="18" fillId="0" borderId="11" xfId="4" applyNumberFormat="1" applyFont="1" applyFill="1" applyBorder="1" applyProtection="1"/>
    <xf numFmtId="6" fontId="18" fillId="0" borderId="18" xfId="4" applyNumberFormat="1" applyFont="1" applyFill="1" applyBorder="1" applyProtection="1"/>
    <xf numFmtId="6" fontId="12" fillId="0" borderId="12" xfId="4" applyNumberFormat="1" applyFont="1" applyBorder="1" applyProtection="1"/>
    <xf numFmtId="6" fontId="18" fillId="0" borderId="0" xfId="4" applyNumberFormat="1" applyFont="1" applyFill="1" applyBorder="1" applyProtection="1"/>
    <xf numFmtId="6" fontId="18" fillId="0" borderId="13" xfId="4" applyNumberFormat="1" applyFont="1" applyFill="1" applyBorder="1" applyProtection="1"/>
    <xf numFmtId="6" fontId="18" fillId="0" borderId="20" xfId="4" applyNumberFormat="1" applyFont="1" applyFill="1" applyBorder="1" applyProtection="1"/>
    <xf numFmtId="6" fontId="12" fillId="0" borderId="15" xfId="4" applyNumberFormat="1" applyFont="1" applyBorder="1" applyProtection="1"/>
    <xf numFmtId="6" fontId="18" fillId="0" borderId="2" xfId="4" applyNumberFormat="1" applyFont="1" applyFill="1" applyBorder="1" applyProtection="1"/>
    <xf numFmtId="6" fontId="18" fillId="0" borderId="14" xfId="4" applyNumberFormat="1" applyFont="1" applyFill="1" applyBorder="1" applyProtection="1"/>
    <xf numFmtId="9" fontId="12" fillId="5" borderId="0" xfId="1" applyFont="1" applyFill="1" applyProtection="1"/>
    <xf numFmtId="9" fontId="12" fillId="5" borderId="0" xfId="1" applyFont="1" applyFill="1" applyBorder="1" applyProtection="1"/>
    <xf numFmtId="164" fontId="12" fillId="0" borderId="0" xfId="4" applyNumberFormat="1" applyFont="1" applyProtection="1"/>
    <xf numFmtId="0" fontId="12" fillId="5" borderId="0" xfId="0" applyFont="1" applyFill="1" applyAlignment="1">
      <alignment horizontal="right"/>
    </xf>
    <xf numFmtId="0" fontId="2" fillId="6" borderId="0" xfId="0" applyFont="1" applyFill="1"/>
    <xf numFmtId="0" fontId="4" fillId="5" borderId="0" xfId="0" applyFont="1" applyFill="1" applyAlignment="1">
      <alignment vertical="top" wrapText="1"/>
    </xf>
    <xf numFmtId="0" fontId="4" fillId="5" borderId="0" xfId="0" applyFont="1" applyFill="1" applyAlignment="1">
      <alignment horizontal="left" vertical="top"/>
    </xf>
    <xf numFmtId="0" fontId="8" fillId="0" borderId="0" xfId="0" applyFont="1"/>
    <xf numFmtId="0" fontId="12" fillId="3" borderId="16" xfId="0" applyFont="1" applyFill="1" applyBorder="1"/>
    <xf numFmtId="0" fontId="12" fillId="3" borderId="12" xfId="0" applyFont="1" applyFill="1" applyBorder="1"/>
    <xf numFmtId="0" fontId="12" fillId="3" borderId="0" xfId="0" applyFont="1" applyFill="1"/>
    <xf numFmtId="0" fontId="19" fillId="3" borderId="12" xfId="0" applyFont="1" applyFill="1" applyBorder="1" applyAlignment="1">
      <alignment horizontal="center" textRotation="90"/>
    </xf>
    <xf numFmtId="0" fontId="19" fillId="3" borderId="0" xfId="0" applyFont="1" applyFill="1" applyAlignment="1">
      <alignment horizontal="center" textRotation="90"/>
    </xf>
    <xf numFmtId="3" fontId="12" fillId="0" borderId="24" xfId="0" applyNumberFormat="1" applyFont="1" applyBorder="1"/>
    <xf numFmtId="3" fontId="12" fillId="0" borderId="1" xfId="0" applyNumberFormat="1" applyFont="1" applyBorder="1"/>
    <xf numFmtId="3" fontId="12" fillId="0" borderId="25" xfId="0" applyNumberFormat="1" applyFont="1" applyBorder="1"/>
    <xf numFmtId="0" fontId="18" fillId="5" borderId="16" xfId="0" applyFont="1" applyFill="1" applyBorder="1" applyAlignment="1">
      <alignment horizontal="left" vertical="center"/>
    </xf>
    <xf numFmtId="0" fontId="18" fillId="5" borderId="12" xfId="0" applyFont="1" applyFill="1" applyBorder="1" applyAlignment="1">
      <alignment horizontal="left" vertical="center"/>
    </xf>
    <xf numFmtId="9" fontId="18" fillId="5" borderId="12" xfId="0" applyNumberFormat="1" applyFont="1" applyFill="1" applyBorder="1" applyAlignment="1">
      <alignment horizontal="left" vertical="center"/>
    </xf>
    <xf numFmtId="0" fontId="18" fillId="5" borderId="15" xfId="0" applyFont="1" applyFill="1" applyBorder="1" applyAlignment="1">
      <alignment horizontal="left" vertical="center"/>
    </xf>
    <xf numFmtId="0" fontId="12" fillId="3" borderId="27" xfId="0" applyFont="1" applyFill="1" applyBorder="1"/>
    <xf numFmtId="0" fontId="17" fillId="3" borderId="19" xfId="0" applyFont="1" applyFill="1" applyBorder="1"/>
    <xf numFmtId="3" fontId="12" fillId="0" borderId="1" xfId="0" applyNumberFormat="1" applyFont="1" applyBorder="1" applyAlignment="1">
      <alignment horizontal="right"/>
    </xf>
    <xf numFmtId="3" fontId="12" fillId="0" borderId="25" xfId="0" applyNumberFormat="1" applyFont="1" applyBorder="1" applyAlignment="1">
      <alignment horizontal="right"/>
    </xf>
    <xf numFmtId="0" fontId="19" fillId="3" borderId="12" xfId="0" applyFont="1" applyFill="1" applyBorder="1" applyAlignment="1">
      <alignment horizontal="center" vertical="center" textRotation="90"/>
    </xf>
    <xf numFmtId="2" fontId="12" fillId="0" borderId="17" xfId="0" applyNumberFormat="1" applyFont="1" applyBorder="1" applyAlignment="1">
      <alignment horizontal="left"/>
    </xf>
    <xf numFmtId="0" fontId="19" fillId="3" borderId="15" xfId="0" applyFont="1" applyFill="1" applyBorder="1" applyAlignment="1">
      <alignment horizontal="center" vertical="center" textRotation="90"/>
    </xf>
    <xf numFmtId="2" fontId="12" fillId="0" borderId="28" xfId="0" applyNumberFormat="1" applyFont="1" applyBorder="1" applyAlignment="1">
      <alignment horizontal="left"/>
    </xf>
    <xf numFmtId="0" fontId="12" fillId="5" borderId="0" xfId="0" applyFont="1" applyFill="1" applyAlignment="1">
      <alignment horizontal="left"/>
    </xf>
    <xf numFmtId="0" fontId="13" fillId="5" borderId="0" xfId="0" applyFont="1" applyFill="1"/>
    <xf numFmtId="164" fontId="12" fillId="5" borderId="0" xfId="0" applyNumberFormat="1" applyFont="1" applyFill="1"/>
    <xf numFmtId="0" fontId="4" fillId="0" borderId="0" xfId="0" applyFont="1"/>
    <xf numFmtId="0" fontId="5" fillId="0" borderId="0" xfId="0" applyFont="1"/>
    <xf numFmtId="0" fontId="18" fillId="0" borderId="0" xfId="0" applyFont="1"/>
    <xf numFmtId="0" fontId="16" fillId="0" borderId="1" xfId="0" applyFont="1" applyBorder="1"/>
    <xf numFmtId="0" fontId="6" fillId="0" borderId="1" xfId="0" applyFont="1" applyBorder="1" applyAlignment="1">
      <alignment horizontal="left" wrapText="1"/>
    </xf>
    <xf numFmtId="0" fontId="16" fillId="0" borderId="1" xfId="0" applyFont="1" applyBorder="1" applyAlignment="1">
      <alignment horizontal="center" wrapText="1"/>
    </xf>
    <xf numFmtId="0" fontId="16" fillId="0" borderId="0" xfId="0" applyFont="1" applyAlignment="1">
      <alignment horizontal="center" wrapText="1"/>
    </xf>
    <xf numFmtId="0" fontId="16" fillId="0" borderId="0" xfId="0" applyFont="1"/>
    <xf numFmtId="0" fontId="16" fillId="0" borderId="0" xfId="0" applyFont="1" applyAlignment="1">
      <alignment horizontal="center"/>
    </xf>
    <xf numFmtId="164" fontId="12" fillId="0" borderId="2" xfId="0" applyNumberFormat="1" applyFont="1" applyBorder="1"/>
    <xf numFmtId="0" fontId="4" fillId="0" borderId="0" xfId="0" applyFont="1" applyAlignment="1">
      <alignment horizontal="right"/>
    </xf>
    <xf numFmtId="164" fontId="12" fillId="0" borderId="0" xfId="0" applyNumberFormat="1" applyFont="1"/>
    <xf numFmtId="164" fontId="12" fillId="0" borderId="0" xfId="4" applyNumberFormat="1" applyFont="1" applyFill="1" applyProtection="1"/>
    <xf numFmtId="166" fontId="12" fillId="0" borderId="0" xfId="0" applyNumberFormat="1" applyFont="1"/>
    <xf numFmtId="165" fontId="12" fillId="0" borderId="0" xfId="0" applyNumberFormat="1" applyFont="1"/>
    <xf numFmtId="9" fontId="8" fillId="0" borderId="0" xfId="0" applyNumberFormat="1" applyFont="1" applyAlignment="1">
      <alignment horizontal="left"/>
    </xf>
    <xf numFmtId="9" fontId="12" fillId="0" borderId="0" xfId="0" applyNumberFormat="1" applyFont="1" applyAlignment="1">
      <alignment horizontal="left"/>
    </xf>
    <xf numFmtId="164" fontId="12" fillId="0" borderId="0" xfId="4" applyNumberFormat="1" applyFont="1" applyFill="1" applyBorder="1" applyProtection="1"/>
    <xf numFmtId="3" fontId="12" fillId="0" borderId="0" xfId="0" applyNumberFormat="1" applyFont="1"/>
    <xf numFmtId="164" fontId="13" fillId="0" borderId="0" xfId="0" applyNumberFormat="1" applyFont="1"/>
    <xf numFmtId="0" fontId="4" fillId="0" borderId="2" xfId="0" applyFont="1" applyBorder="1" applyAlignment="1">
      <alignment horizontal="right"/>
    </xf>
    <xf numFmtId="0" fontId="12" fillId="0" borderId="2" xfId="0" applyFont="1" applyBorder="1"/>
    <xf numFmtId="0" fontId="2" fillId="0" borderId="2" xfId="0" applyFont="1" applyBorder="1"/>
    <xf numFmtId="0" fontId="2" fillId="0" borderId="3" xfId="0" applyFont="1" applyBorder="1"/>
    <xf numFmtId="0" fontId="12" fillId="0" borderId="3" xfId="0" applyFont="1" applyBorder="1"/>
    <xf numFmtId="164" fontId="12" fillId="0" borderId="3" xfId="0" applyNumberFormat="1" applyFont="1" applyBorder="1"/>
    <xf numFmtId="0" fontId="7" fillId="0" borderId="0" xfId="0" applyFont="1"/>
    <xf numFmtId="0" fontId="2" fillId="0" borderId="0" xfId="0" applyFont="1" applyAlignment="1">
      <alignment wrapText="1"/>
    </xf>
    <xf numFmtId="0" fontId="0" fillId="0" borderId="0" xfId="0" applyAlignment="1">
      <alignment wrapText="1"/>
    </xf>
    <xf numFmtId="9" fontId="0" fillId="0" borderId="0" xfId="1" applyFont="1" applyFill="1" applyBorder="1" applyProtection="1"/>
    <xf numFmtId="0" fontId="0" fillId="0" borderId="0" xfId="0" applyAlignment="1">
      <alignment horizontal="right"/>
    </xf>
    <xf numFmtId="164" fontId="0" fillId="0" borderId="0" xfId="0" applyNumberFormat="1"/>
    <xf numFmtId="0" fontId="10" fillId="5" borderId="0" xfId="0" applyFont="1" applyFill="1" applyAlignment="1">
      <alignment horizontal="center"/>
    </xf>
    <xf numFmtId="0" fontId="4" fillId="5" borderId="0" xfId="0" applyFont="1" applyFill="1" applyAlignment="1">
      <alignment horizontal="right" vertical="top" wrapText="1"/>
    </xf>
    <xf numFmtId="0" fontId="24" fillId="5" borderId="0" xfId="5" applyFont="1" applyFill="1" applyAlignment="1">
      <alignment horizontal="left" vertical="top" wrapText="1"/>
    </xf>
    <xf numFmtId="0" fontId="4" fillId="5" borderId="0" xfId="0" applyFont="1" applyFill="1" applyAlignment="1">
      <alignment horizontal="left" vertical="top" wrapText="1"/>
    </xf>
    <xf numFmtId="3" fontId="12" fillId="0" borderId="24" xfId="0" applyNumberFormat="1" applyFont="1" applyBorder="1" applyAlignment="1">
      <alignment horizontal="right"/>
    </xf>
    <xf numFmtId="0" fontId="17" fillId="3" borderId="16" xfId="0" applyFont="1" applyFill="1" applyBorder="1"/>
    <xf numFmtId="0" fontId="18" fillId="5" borderId="12" xfId="0" applyFont="1" applyFill="1" applyBorder="1" applyAlignment="1">
      <alignment horizontal="right"/>
    </xf>
    <xf numFmtId="0" fontId="18" fillId="5" borderId="0" xfId="0" applyFont="1" applyFill="1" applyAlignment="1">
      <alignment horizontal="right"/>
    </xf>
    <xf numFmtId="0" fontId="18" fillId="5" borderId="13" xfId="0" applyFont="1" applyFill="1" applyBorder="1" applyAlignment="1">
      <alignment horizontal="right"/>
    </xf>
    <xf numFmtId="0" fontId="12" fillId="3" borderId="24" xfId="0" applyFont="1" applyFill="1" applyBorder="1"/>
    <xf numFmtId="0" fontId="12" fillId="3" borderId="1" xfId="0" applyFont="1" applyFill="1" applyBorder="1"/>
    <xf numFmtId="0" fontId="11" fillId="3" borderId="5" xfId="0" applyFont="1" applyFill="1" applyBorder="1"/>
    <xf numFmtId="0" fontId="11" fillId="3" borderId="6" xfId="0" applyFont="1" applyFill="1" applyBorder="1"/>
    <xf numFmtId="0" fontId="21" fillId="3" borderId="5" xfId="3" applyFont="1" applyFill="1" applyBorder="1" applyAlignment="1">
      <alignment horizontal="center"/>
    </xf>
    <xf numFmtId="0" fontId="21" fillId="3" borderId="6" xfId="3" applyFont="1" applyFill="1" applyBorder="1" applyAlignment="1">
      <alignment horizontal="center"/>
    </xf>
    <xf numFmtId="0" fontId="21" fillId="3" borderId="7" xfId="3" applyFont="1" applyFill="1" applyBorder="1" applyAlignment="1">
      <alignment horizontal="center"/>
    </xf>
    <xf numFmtId="0" fontId="12" fillId="5" borderId="0" xfId="0" applyFont="1" applyFill="1" applyAlignment="1">
      <alignment horizontal="right"/>
    </xf>
    <xf numFmtId="0" fontId="0" fillId="5" borderId="0" xfId="0" applyFill="1"/>
    <xf numFmtId="0" fontId="12" fillId="5" borderId="0" xfId="0" applyFont="1" applyFill="1" applyAlignment="1">
      <alignment horizontal="left" vertical="top" wrapText="1"/>
    </xf>
    <xf numFmtId="0" fontId="14" fillId="4" borderId="8" xfId="2" applyFont="1" applyBorder="1" applyAlignment="1">
      <alignment horizontal="center" wrapText="1"/>
    </xf>
    <xf numFmtId="0" fontId="14" fillId="4" borderId="9" xfId="2" applyFont="1" applyBorder="1" applyAlignment="1">
      <alignment horizontal="center" wrapText="1"/>
    </xf>
    <xf numFmtId="0" fontId="14" fillId="4" borderId="10" xfId="2" applyFont="1" applyBorder="1" applyAlignment="1">
      <alignment horizontal="center" wrapText="1"/>
    </xf>
    <xf numFmtId="0" fontId="10" fillId="5" borderId="0" xfId="0" applyFont="1" applyFill="1" applyAlignment="1">
      <alignment horizontal="center"/>
    </xf>
    <xf numFmtId="0" fontId="18" fillId="0" borderId="2" xfId="0" applyFont="1" applyBorder="1" applyAlignment="1">
      <alignment horizontal="center" wrapText="1"/>
    </xf>
    <xf numFmtId="0" fontId="20" fillId="3" borderId="24" xfId="0" applyFont="1" applyFill="1" applyBorder="1" applyAlignment="1">
      <alignment horizontal="center" wrapText="1"/>
    </xf>
    <xf numFmtId="0" fontId="20" fillId="3" borderId="1" xfId="0" applyFont="1" applyFill="1" applyBorder="1" applyAlignment="1">
      <alignment horizontal="center" wrapText="1"/>
    </xf>
    <xf numFmtId="0" fontId="0" fillId="0" borderId="0" xfId="0" applyAlignment="1">
      <alignment horizontal="left" wrapText="1"/>
    </xf>
    <xf numFmtId="164" fontId="0" fillId="0" borderId="0" xfId="0" applyNumberFormat="1" applyAlignment="1">
      <alignment horizontal="right"/>
    </xf>
    <xf numFmtId="0" fontId="4" fillId="0" borderId="0" xfId="0" applyFont="1" applyAlignment="1">
      <alignment horizontal="left"/>
    </xf>
    <xf numFmtId="0" fontId="4" fillId="0" borderId="3" xfId="0" applyFont="1" applyBorder="1" applyAlignment="1">
      <alignment horizontal="left"/>
    </xf>
    <xf numFmtId="0" fontId="4" fillId="5" borderId="0" xfId="0" applyFont="1" applyFill="1" applyAlignment="1">
      <alignment horizontal="center"/>
    </xf>
    <xf numFmtId="0" fontId="12" fillId="0" borderId="0" xfId="0" applyFont="1" applyAlignment="1">
      <alignment horizontal="left"/>
    </xf>
    <xf numFmtId="0" fontId="12" fillId="5" borderId="0" xfId="0" applyFont="1" applyFill="1" applyAlignment="1">
      <alignment horizontal="left" wrapText="1"/>
    </xf>
    <xf numFmtId="0" fontId="22" fillId="3" borderId="22" xfId="0" applyFont="1" applyFill="1" applyBorder="1" applyAlignment="1">
      <alignment horizontal="center" vertical="center" textRotation="90"/>
    </xf>
    <xf numFmtId="0" fontId="22" fillId="3" borderId="23" xfId="0" applyFont="1" applyFill="1" applyBorder="1" applyAlignment="1">
      <alignment horizontal="center" vertical="center" textRotation="90"/>
    </xf>
    <xf numFmtId="0" fontId="22" fillId="3" borderId="26" xfId="0" applyFont="1" applyFill="1" applyBorder="1" applyAlignment="1">
      <alignment horizontal="center"/>
    </xf>
    <xf numFmtId="0" fontId="22" fillId="3" borderId="1" xfId="0" applyFont="1" applyFill="1" applyBorder="1" applyAlignment="1">
      <alignment horizontal="center"/>
    </xf>
    <xf numFmtId="0" fontId="22" fillId="3" borderId="25" xfId="0" applyFont="1" applyFill="1" applyBorder="1" applyAlignment="1">
      <alignment horizontal="center"/>
    </xf>
    <xf numFmtId="0" fontId="22" fillId="3" borderId="12" xfId="0" applyFont="1" applyFill="1" applyBorder="1" applyAlignment="1">
      <alignment horizontal="center" vertical="center" textRotation="90"/>
    </xf>
    <xf numFmtId="0" fontId="22" fillId="3" borderId="15" xfId="0" applyFont="1" applyFill="1" applyBorder="1" applyAlignment="1">
      <alignment horizontal="center" vertical="center" textRotation="90"/>
    </xf>
  </cellXfs>
  <cellStyles count="6">
    <cellStyle name="Currency" xfId="4" builtinId="4"/>
    <cellStyle name="Hyperlink" xfId="5" builtinId="8"/>
    <cellStyle name="Normal" xfId="0" builtinId="0"/>
    <cellStyle name="Normal 2 2" xfId="3" xr:uid="{B82EEC54-C959-4263-882E-61D78481713D}"/>
    <cellStyle name="Output" xfId="2" builtinId="21"/>
    <cellStyle name="Percent" xfId="1" builtinId="5"/>
  </cellStyles>
  <dxfs count="2">
    <dxf>
      <font>
        <color rgb="FFFF0000"/>
      </font>
    </dxf>
    <dxf>
      <font>
        <color rgb="FFFF000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2505075</xdr:colOff>
      <xdr:row>3</xdr:row>
      <xdr:rowOff>104775</xdr:rowOff>
    </xdr:from>
    <xdr:to>
      <xdr:col>3</xdr:col>
      <xdr:colOff>2667000</xdr:colOff>
      <xdr:row>8</xdr:row>
      <xdr:rowOff>120331</xdr:rowOff>
    </xdr:to>
    <xdr:pic>
      <xdr:nvPicPr>
        <xdr:cNvPr id="2" name="Picture 1" descr="University of Missouri - Extension and Food &amp; Agricultural Policy Research Institute">
          <a:extLst>
            <a:ext uri="{FF2B5EF4-FFF2-40B4-BE49-F238E27FC236}">
              <a16:creationId xmlns:a16="http://schemas.microsoft.com/office/drawing/2014/main" id="{B1354209-E3E0-4ACE-9F05-A6F6F228A6DF}"/>
            </a:ext>
          </a:extLst>
        </xdr:cNvPr>
        <xdr:cNvPicPr>
          <a:picLocks noChangeAspect="1"/>
        </xdr:cNvPicPr>
      </xdr:nvPicPr>
      <xdr:blipFill>
        <a:blip xmlns:r="http://schemas.openxmlformats.org/officeDocument/2006/relationships" r:embed="rId1"/>
        <a:stretch>
          <a:fillRect/>
        </a:stretch>
      </xdr:blipFill>
      <xdr:spPr>
        <a:xfrm>
          <a:off x="4352925" y="781050"/>
          <a:ext cx="2800350" cy="9490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pageSetUpPr fitToPage="1"/>
  </sheetPr>
  <dimension ref="A1:M28"/>
  <sheetViews>
    <sheetView tabSelected="1" workbookViewId="0"/>
  </sheetViews>
  <sheetFormatPr defaultColWidth="0" defaultRowHeight="16.5" customHeight="1" zeroHeight="1" x14ac:dyDescent="0.4"/>
  <cols>
    <col min="1" max="1" width="2.796875" style="3" customWidth="1"/>
    <col min="2" max="2" width="35.59765625" style="3" customWidth="1"/>
    <col min="3" max="3" width="34.59765625" style="3" customWidth="1"/>
    <col min="4" max="4" width="36.59765625" style="3" customWidth="1"/>
    <col min="5" max="5" width="3" style="3" customWidth="1"/>
    <col min="6" max="8" width="9" style="3" hidden="1" customWidth="1"/>
    <col min="9" max="13" width="0" style="3" hidden="1" customWidth="1"/>
    <col min="14" max="16384" width="9" style="3" hidden="1"/>
  </cols>
  <sheetData>
    <row r="1" spans="1:13" ht="17.399999999999999" thickBot="1" x14ac:dyDescent="0.45">
      <c r="A1" s="2"/>
      <c r="B1" s="4"/>
      <c r="C1" s="4"/>
      <c r="D1" s="4"/>
      <c r="E1" s="2"/>
      <c r="F1" s="2"/>
      <c r="G1" s="2"/>
      <c r="H1" s="2"/>
      <c r="I1" s="2"/>
      <c r="J1" s="2"/>
      <c r="K1" s="2"/>
      <c r="L1" s="2"/>
      <c r="M1" s="2"/>
    </row>
    <row r="2" spans="1:13" ht="19.5" customHeight="1" thickBot="1" x14ac:dyDescent="0.45">
      <c r="A2" s="2"/>
      <c r="B2" s="124" t="s">
        <v>46</v>
      </c>
      <c r="C2" s="125"/>
      <c r="D2" s="126"/>
      <c r="E2" s="2"/>
      <c r="F2" s="2"/>
      <c r="G2" s="2"/>
      <c r="H2" s="2"/>
    </row>
    <row r="3" spans="1:13" ht="16.5" customHeight="1" x14ac:dyDescent="0.4">
      <c r="A3" s="2"/>
      <c r="B3" s="127" t="s">
        <v>0</v>
      </c>
      <c r="C3" s="127"/>
      <c r="D3" s="127"/>
      <c r="E3" s="2"/>
      <c r="F3" s="2"/>
      <c r="G3" s="2"/>
      <c r="H3" s="2"/>
    </row>
    <row r="4" spans="1:13" ht="16.8" x14ac:dyDescent="0.4">
      <c r="A4" s="2"/>
      <c r="B4" s="128"/>
      <c r="C4" s="128"/>
      <c r="D4" s="128"/>
      <c r="E4" s="2"/>
      <c r="F4" s="2"/>
      <c r="G4" s="2"/>
      <c r="H4" s="2"/>
    </row>
    <row r="5" spans="1:13" ht="16.8" x14ac:dyDescent="0.4">
      <c r="A5" s="2"/>
      <c r="B5" s="9" t="s">
        <v>123</v>
      </c>
      <c r="C5" s="7"/>
      <c r="D5" s="133"/>
      <c r="E5" s="2"/>
      <c r="F5" s="2"/>
      <c r="G5" s="2"/>
      <c r="H5" s="2"/>
    </row>
    <row r="6" spans="1:13" ht="16.5" customHeight="1" x14ac:dyDescent="0.4">
      <c r="A6" s="2"/>
      <c r="B6" s="54"/>
      <c r="C6" s="53"/>
      <c r="D6" s="133"/>
      <c r="E6" s="2"/>
      <c r="F6" s="2"/>
      <c r="G6" s="2"/>
      <c r="H6" s="2"/>
    </row>
    <row r="7" spans="1:13" ht="16.5" customHeight="1" x14ac:dyDescent="0.4">
      <c r="A7" s="2"/>
      <c r="B7" s="112" t="s">
        <v>119</v>
      </c>
      <c r="C7" s="113" t="s">
        <v>120</v>
      </c>
      <c r="D7" s="111"/>
      <c r="E7" s="2"/>
      <c r="F7" s="2"/>
      <c r="G7" s="2"/>
      <c r="H7" s="2"/>
    </row>
    <row r="8" spans="1:13" ht="8.1" customHeight="1" x14ac:dyDescent="0.4">
      <c r="A8" s="2"/>
      <c r="B8" s="112"/>
      <c r="C8" s="114"/>
      <c r="D8" s="111"/>
      <c r="E8" s="2"/>
      <c r="F8" s="2"/>
      <c r="G8" s="2"/>
      <c r="H8" s="2"/>
    </row>
    <row r="9" spans="1:13" ht="16.5" customHeight="1" x14ac:dyDescent="0.4">
      <c r="A9" s="2"/>
      <c r="B9" s="112" t="s">
        <v>121</v>
      </c>
      <c r="C9" s="113" t="s">
        <v>122</v>
      </c>
      <c r="D9" s="111"/>
      <c r="E9" s="2"/>
      <c r="F9" s="2"/>
      <c r="G9" s="2"/>
      <c r="H9" s="2"/>
    </row>
    <row r="10" spans="1:13" ht="16.5" customHeight="1" x14ac:dyDescent="0.4">
      <c r="A10" s="2"/>
      <c r="B10" s="5"/>
      <c r="C10"/>
      <c r="D10" s="4"/>
      <c r="E10" s="2"/>
      <c r="F10" s="2"/>
      <c r="G10" s="2"/>
      <c r="H10" s="2"/>
    </row>
    <row r="11" spans="1:13" ht="48.6" customHeight="1" x14ac:dyDescent="0.4">
      <c r="A11" s="2"/>
      <c r="B11" s="129" t="s">
        <v>39</v>
      </c>
      <c r="C11" s="129"/>
      <c r="D11" s="129"/>
      <c r="E11" s="2"/>
      <c r="F11" s="2"/>
      <c r="G11" s="2"/>
      <c r="H11" s="2"/>
    </row>
    <row r="12" spans="1:13" ht="51.75" customHeight="1" x14ac:dyDescent="0.4">
      <c r="A12" s="2"/>
      <c r="B12" s="129" t="s">
        <v>48</v>
      </c>
      <c r="C12" s="129"/>
      <c r="D12" s="129"/>
      <c r="F12" s="2"/>
      <c r="G12" s="2"/>
      <c r="H12" s="2"/>
    </row>
    <row r="13" spans="1:13" ht="16.5" customHeight="1" x14ac:dyDescent="0.4">
      <c r="A13" s="2"/>
      <c r="B13" s="6"/>
      <c r="C13" s="6"/>
      <c r="D13" s="6"/>
      <c r="E13" s="2"/>
      <c r="F13" s="2"/>
      <c r="G13" s="2"/>
      <c r="H13" s="2"/>
    </row>
    <row r="14" spans="1:13" ht="16.5" customHeight="1" x14ac:dyDescent="0.4">
      <c r="A14" s="2"/>
      <c r="B14" s="130" t="s">
        <v>1</v>
      </c>
      <c r="C14" s="131"/>
      <c r="D14" s="132"/>
      <c r="E14" s="2"/>
      <c r="F14" s="2"/>
      <c r="G14" s="2"/>
      <c r="H14" s="2"/>
    </row>
    <row r="15" spans="1:13" ht="17.399999999999999" thickBot="1" x14ac:dyDescent="0.45">
      <c r="A15" s="2"/>
      <c r="B15" s="4"/>
      <c r="C15" s="4"/>
      <c r="D15" s="4"/>
      <c r="E15" s="2"/>
      <c r="F15" s="2"/>
      <c r="G15" s="2"/>
      <c r="H15" s="2"/>
    </row>
    <row r="16" spans="1:13" ht="19.2" thickBot="1" x14ac:dyDescent="0.45">
      <c r="A16" s="2"/>
      <c r="B16" s="122"/>
      <c r="C16" s="123"/>
      <c r="D16" s="123"/>
      <c r="E16" s="2"/>
      <c r="F16" s="2"/>
      <c r="G16" s="2"/>
      <c r="H16" s="2"/>
    </row>
    <row r="17" spans="1:8" ht="16.8" x14ac:dyDescent="0.4">
      <c r="A17" s="2"/>
      <c r="B17" s="2"/>
      <c r="C17" s="2"/>
      <c r="D17" s="2"/>
      <c r="E17" s="2"/>
      <c r="F17" s="2"/>
      <c r="G17" s="2"/>
      <c r="H17" s="2"/>
    </row>
    <row r="18" spans="1:8" ht="16.8" hidden="1" x14ac:dyDescent="0.4">
      <c r="A18" s="2"/>
      <c r="B18" s="2"/>
      <c r="C18" s="2"/>
      <c r="D18" s="2"/>
      <c r="E18" s="2"/>
      <c r="F18" s="2"/>
      <c r="G18" s="2"/>
      <c r="H18" s="2"/>
    </row>
    <row r="19" spans="1:8" ht="16.8" hidden="1" x14ac:dyDescent="0.4">
      <c r="A19" s="2"/>
      <c r="B19" s="2"/>
      <c r="C19" s="2"/>
      <c r="D19" s="2"/>
      <c r="E19" s="2"/>
      <c r="F19" s="2"/>
      <c r="G19" s="2"/>
      <c r="H19" s="2"/>
    </row>
    <row r="20" spans="1:8" ht="16.8" hidden="1" x14ac:dyDescent="0.4">
      <c r="A20" s="2"/>
      <c r="B20" s="2"/>
      <c r="C20" s="2"/>
      <c r="D20" s="2"/>
      <c r="E20" s="2"/>
      <c r="F20" s="2"/>
      <c r="G20" s="2"/>
      <c r="H20" s="2"/>
    </row>
    <row r="21" spans="1:8" ht="16.8" hidden="1" x14ac:dyDescent="0.4">
      <c r="A21" s="2"/>
      <c r="B21" s="2"/>
      <c r="C21" s="2"/>
      <c r="D21" s="2"/>
      <c r="E21" s="2"/>
      <c r="F21" s="2"/>
      <c r="G21" s="2"/>
      <c r="H21" s="2"/>
    </row>
    <row r="22" spans="1:8" ht="16.8" hidden="1" x14ac:dyDescent="0.4">
      <c r="A22" s="2"/>
      <c r="B22" s="2"/>
      <c r="C22" s="2"/>
      <c r="D22" s="2"/>
      <c r="E22" s="2"/>
      <c r="F22" s="2"/>
      <c r="G22" s="2"/>
      <c r="H22" s="2"/>
    </row>
    <row r="23" spans="1:8" ht="16.8" hidden="1" x14ac:dyDescent="0.4">
      <c r="A23" s="2"/>
      <c r="B23" s="2"/>
      <c r="C23" s="2"/>
      <c r="D23" s="2"/>
      <c r="E23" s="2"/>
      <c r="F23" s="2"/>
      <c r="G23" s="2"/>
      <c r="H23" s="2"/>
    </row>
    <row r="24" spans="1:8" ht="16.8" hidden="1" x14ac:dyDescent="0.4">
      <c r="A24" s="2"/>
      <c r="B24" s="2"/>
      <c r="C24" s="2"/>
      <c r="D24" s="2"/>
      <c r="E24" s="2"/>
      <c r="F24" s="2"/>
      <c r="G24" s="2"/>
      <c r="H24" s="2"/>
    </row>
    <row r="25" spans="1:8" ht="16.8" hidden="1" x14ac:dyDescent="0.4">
      <c r="A25" s="2"/>
      <c r="B25" s="2"/>
      <c r="C25" s="2"/>
      <c r="D25" s="2"/>
      <c r="E25" s="2"/>
      <c r="F25" s="2"/>
      <c r="G25" s="2"/>
      <c r="H25" s="2"/>
    </row>
    <row r="26" spans="1:8" ht="16.8" hidden="1" x14ac:dyDescent="0.4">
      <c r="A26" s="2"/>
    </row>
    <row r="27" spans="1:8" ht="16.8" hidden="1" x14ac:dyDescent="0.4">
      <c r="A27" s="2"/>
    </row>
    <row r="28" spans="1:8" ht="16.8" hidden="1" x14ac:dyDescent="0.4">
      <c r="A28" s="2"/>
    </row>
  </sheetData>
  <sheetProtection sheet="1" objects="1" scenarios="1"/>
  <mergeCells count="8">
    <mergeCell ref="B16:D16"/>
    <mergeCell ref="B2:D2"/>
    <mergeCell ref="B3:D3"/>
    <mergeCell ref="B4:D4"/>
    <mergeCell ref="B12:D12"/>
    <mergeCell ref="B14:D14"/>
    <mergeCell ref="B11:D11"/>
    <mergeCell ref="D5:D6"/>
  </mergeCells>
  <hyperlinks>
    <hyperlink ref="C9" r:id="rId1" xr:uid="{E24ACD85-9E15-455A-8204-3198800E508F}"/>
    <hyperlink ref="C7" r:id="rId2" xr:uid="{B2647420-800E-4289-9B04-AFEF63899345}"/>
  </hyperlinks>
  <pageMargins left="0.7" right="0.7" top="0.75" bottom="0.75" header="0.3" footer="0.3"/>
  <pageSetup scale="77"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pageSetUpPr fitToPage="1"/>
  </sheetPr>
  <dimension ref="A1:X77"/>
  <sheetViews>
    <sheetView showGridLines="0" zoomScaleNormal="100" workbookViewId="0"/>
  </sheetViews>
  <sheetFormatPr defaultColWidth="0" defaultRowHeight="15.6" zeroHeight="1" x14ac:dyDescent="0.35"/>
  <cols>
    <col min="1" max="1" width="3.09765625" style="1" customWidth="1"/>
    <col min="2" max="2" width="1.59765625" style="1" customWidth="1"/>
    <col min="3" max="3" width="33.796875" style="1" customWidth="1"/>
    <col min="4" max="4" width="8.09765625" style="1" customWidth="1"/>
    <col min="5" max="5" width="8.5" style="1" customWidth="1"/>
    <col min="6" max="6" width="1" style="1" customWidth="1"/>
    <col min="7" max="7" width="8.796875" style="1" customWidth="1"/>
    <col min="8" max="8" width="11.59765625" style="1" customWidth="1"/>
    <col min="9" max="9" width="1.59765625" style="1" customWidth="1"/>
    <col min="10" max="10" width="8.796875" style="1" customWidth="1"/>
    <col min="11" max="11" width="11.59765625" style="1" customWidth="1"/>
    <col min="12" max="12" width="1.59765625" style="1" customWidth="1"/>
    <col min="13" max="13" width="8.796875" style="1" customWidth="1"/>
    <col min="14" max="14" width="11.59765625" style="1" customWidth="1"/>
    <col min="15" max="15" width="1.59765625" style="1" customWidth="1"/>
    <col min="16" max="16" width="8.796875" style="1" customWidth="1"/>
    <col min="17" max="17" width="11.59765625" style="1" customWidth="1"/>
    <col min="18" max="18" width="1.59765625" style="1" customWidth="1"/>
    <col min="19" max="19" width="3.09765625" style="1" customWidth="1"/>
    <col min="20" max="23" width="9" style="1" hidden="1" customWidth="1"/>
    <col min="24" max="24" width="0" style="1" hidden="1" customWidth="1"/>
    <col min="25" max="16384" width="9" style="1" hidden="1"/>
  </cols>
  <sheetData>
    <row r="1" spans="1:18" ht="3.45" customHeight="1" x14ac:dyDescent="0.35">
      <c r="B1" s="79"/>
      <c r="C1" s="79"/>
      <c r="D1"/>
      <c r="E1"/>
      <c r="F1"/>
      <c r="G1"/>
      <c r="H1"/>
      <c r="I1"/>
      <c r="J1"/>
      <c r="K1"/>
      <c r="L1"/>
      <c r="M1"/>
      <c r="N1"/>
      <c r="O1"/>
      <c r="P1"/>
      <c r="Q1"/>
    </row>
    <row r="2" spans="1:18" ht="18.75" customHeight="1" x14ac:dyDescent="0.4">
      <c r="B2" s="135" t="s">
        <v>47</v>
      </c>
      <c r="C2" s="136"/>
      <c r="D2" s="136"/>
      <c r="E2" s="136"/>
      <c r="F2" s="136"/>
      <c r="G2" s="136"/>
      <c r="H2" s="136"/>
      <c r="I2" s="136"/>
      <c r="J2" s="136"/>
      <c r="K2" s="136"/>
      <c r="L2" s="136"/>
      <c r="M2" s="136"/>
      <c r="N2" s="136"/>
      <c r="O2" s="136"/>
      <c r="P2" s="136"/>
      <c r="Q2" s="136"/>
      <c r="R2" s="136"/>
    </row>
    <row r="3" spans="1:18" ht="32.549999999999997" customHeight="1" x14ac:dyDescent="0.35">
      <c r="B3" s="80"/>
      <c r="C3" s="80"/>
      <c r="D3" s="80"/>
      <c r="E3" s="80"/>
      <c r="F3" s="80"/>
      <c r="G3" s="134" t="s">
        <v>49</v>
      </c>
      <c r="H3" s="134"/>
      <c r="I3" s="81"/>
      <c r="J3" s="134" t="s">
        <v>50</v>
      </c>
      <c r="K3" s="134"/>
      <c r="L3" s="81"/>
      <c r="M3" s="134" t="s">
        <v>51</v>
      </c>
      <c r="N3" s="134"/>
      <c r="O3" s="81"/>
      <c r="P3" s="134" t="s">
        <v>52</v>
      </c>
      <c r="Q3" s="134"/>
    </row>
    <row r="4" spans="1:18" ht="35.1" customHeight="1" x14ac:dyDescent="0.4">
      <c r="A4" s="10"/>
      <c r="B4" s="82" t="s">
        <v>17</v>
      </c>
      <c r="C4" s="82"/>
      <c r="D4" s="83" t="s">
        <v>3</v>
      </c>
      <c r="E4" s="84" t="s">
        <v>4</v>
      </c>
      <c r="F4" s="85"/>
      <c r="G4" s="84" t="s">
        <v>5</v>
      </c>
      <c r="H4" s="84" t="s">
        <v>6</v>
      </c>
      <c r="I4" s="86"/>
      <c r="J4" s="84" t="s">
        <v>5</v>
      </c>
      <c r="K4" s="84" t="s">
        <v>7</v>
      </c>
      <c r="L4" s="86"/>
      <c r="M4" s="84" t="s">
        <v>5</v>
      </c>
      <c r="N4" s="84" t="s">
        <v>6</v>
      </c>
      <c r="O4" s="87"/>
      <c r="P4" s="84" t="s">
        <v>5</v>
      </c>
      <c r="Q4" s="84" t="s">
        <v>6</v>
      </c>
    </row>
    <row r="5" spans="1:18" ht="16.5" customHeight="1" x14ac:dyDescent="0.4">
      <c r="A5" s="10"/>
      <c r="B5" s="7" t="s">
        <v>78</v>
      </c>
      <c r="C5" s="7"/>
      <c r="D5" s="55" t="s">
        <v>11</v>
      </c>
      <c r="E5" s="11">
        <v>3.02</v>
      </c>
      <c r="F5" s="7"/>
      <c r="G5" s="17">
        <v>0</v>
      </c>
      <c r="H5" s="88">
        <f>G5*E5</f>
        <v>0</v>
      </c>
      <c r="I5" s="7"/>
      <c r="J5" s="17">
        <v>0</v>
      </c>
      <c r="K5" s="88">
        <f>J5*E5</f>
        <v>0</v>
      </c>
      <c r="L5" s="7"/>
      <c r="M5" s="16">
        <v>1650.3795</v>
      </c>
      <c r="N5" s="88">
        <f>M5*E5</f>
        <v>4984.1460900000002</v>
      </c>
      <c r="O5" s="7"/>
      <c r="P5" s="16">
        <v>5290.6451399999996</v>
      </c>
      <c r="Q5" s="88">
        <f>P5*E5</f>
        <v>15977.748322799998</v>
      </c>
    </row>
    <row r="6" spans="1:18" ht="16.5" customHeight="1" x14ac:dyDescent="0.4">
      <c r="A6" s="10"/>
      <c r="C6" s="89" t="s">
        <v>18</v>
      </c>
      <c r="D6"/>
      <c r="E6" s="7"/>
      <c r="F6" s="7"/>
      <c r="G6" s="7"/>
      <c r="H6" s="90">
        <f>H5</f>
        <v>0</v>
      </c>
      <c r="I6" s="7"/>
      <c r="J6" s="7"/>
      <c r="K6" s="90">
        <f>K5</f>
        <v>0</v>
      </c>
      <c r="L6" s="7"/>
      <c r="M6" s="7"/>
      <c r="N6" s="90">
        <f>N5</f>
        <v>4984.1460900000002</v>
      </c>
      <c r="O6" s="7"/>
      <c r="P6" s="7"/>
      <c r="Q6" s="90">
        <f>Q5</f>
        <v>15977.748322799998</v>
      </c>
    </row>
    <row r="7" spans="1:18" ht="35.1" customHeight="1" x14ac:dyDescent="0.4">
      <c r="A7" s="10"/>
      <c r="B7" s="82" t="s">
        <v>19</v>
      </c>
      <c r="C7" s="82"/>
      <c r="D7" s="83" t="s">
        <v>3</v>
      </c>
      <c r="E7" s="84" t="s">
        <v>4</v>
      </c>
      <c r="F7" s="85"/>
      <c r="G7" s="84" t="s">
        <v>5</v>
      </c>
      <c r="H7" s="84" t="s">
        <v>6</v>
      </c>
      <c r="I7" s="86"/>
      <c r="J7" s="84" t="s">
        <v>5</v>
      </c>
      <c r="K7" s="84" t="s">
        <v>7</v>
      </c>
      <c r="L7" s="86"/>
      <c r="M7" s="84" t="s">
        <v>5</v>
      </c>
      <c r="N7" s="84" t="s">
        <v>6</v>
      </c>
      <c r="O7" s="87"/>
      <c r="P7" s="84" t="s">
        <v>5</v>
      </c>
      <c r="Q7" s="84" t="s">
        <v>6</v>
      </c>
    </row>
    <row r="8" spans="1:18" ht="16.5" customHeight="1" x14ac:dyDescent="0.4">
      <c r="A8" s="10"/>
      <c r="B8" s="7" t="s">
        <v>79</v>
      </c>
      <c r="C8" s="7"/>
      <c r="D8" s="55" t="s">
        <v>8</v>
      </c>
      <c r="E8" s="11">
        <v>4.6500000000000004</v>
      </c>
      <c r="F8" s="7"/>
      <c r="G8" s="12">
        <v>0</v>
      </c>
      <c r="H8" s="90">
        <f>G8*$E$8</f>
        <v>0</v>
      </c>
      <c r="I8" s="7"/>
      <c r="J8" s="12">
        <v>1089</v>
      </c>
      <c r="K8" s="90">
        <f>J8*E8</f>
        <v>5063.8500000000004</v>
      </c>
      <c r="L8" s="7"/>
      <c r="M8" s="16">
        <v>100</v>
      </c>
      <c r="N8" s="90">
        <f>M8*E8</f>
        <v>465.00000000000006</v>
      </c>
      <c r="O8" s="7"/>
      <c r="P8" s="12">
        <v>0</v>
      </c>
      <c r="Q8" s="90">
        <f>P8*E8</f>
        <v>0</v>
      </c>
    </row>
    <row r="9" spans="1:18" ht="16.5" customHeight="1" x14ac:dyDescent="0.4">
      <c r="A9" s="10"/>
      <c r="B9" s="7" t="s">
        <v>80</v>
      </c>
      <c r="C9" s="7"/>
      <c r="D9" s="55" t="s">
        <v>9</v>
      </c>
      <c r="E9" s="11">
        <v>15</v>
      </c>
      <c r="F9" s="7"/>
      <c r="G9" s="12">
        <v>1</v>
      </c>
      <c r="H9" s="90">
        <f>G9*$E9</f>
        <v>15</v>
      </c>
      <c r="I9" s="7"/>
      <c r="J9" s="12">
        <v>0</v>
      </c>
      <c r="K9" s="90">
        <f>J9*E9</f>
        <v>0</v>
      </c>
      <c r="L9" s="7"/>
      <c r="M9" s="16">
        <v>0</v>
      </c>
      <c r="N9" s="90">
        <f>M9*E9</f>
        <v>0</v>
      </c>
      <c r="O9" s="7"/>
      <c r="P9" s="12">
        <v>0</v>
      </c>
      <c r="Q9" s="90">
        <f>P9*$E9</f>
        <v>0</v>
      </c>
    </row>
    <row r="10" spans="1:18" ht="16.5" customHeight="1" x14ac:dyDescent="0.4">
      <c r="A10" s="10"/>
      <c r="B10" s="7" t="s">
        <v>81</v>
      </c>
      <c r="C10" s="7"/>
      <c r="D10" s="55" t="s">
        <v>44</v>
      </c>
      <c r="E10" s="11">
        <v>8.4747899159663884</v>
      </c>
      <c r="F10" s="7"/>
      <c r="G10" s="12">
        <v>2.38</v>
      </c>
      <c r="H10" s="90">
        <f t="shared" ref="H10:H11" si="0">G10*$E10</f>
        <v>20.170000000000005</v>
      </c>
      <c r="I10" s="7"/>
      <c r="J10" s="12">
        <v>0</v>
      </c>
      <c r="K10" s="90">
        <f t="shared" ref="K10:K11" si="1">J10*E10</f>
        <v>0</v>
      </c>
      <c r="L10" s="7"/>
      <c r="M10" s="16">
        <v>0</v>
      </c>
      <c r="N10" s="90">
        <f t="shared" ref="N10:N11" si="2">M10*E10</f>
        <v>0</v>
      </c>
      <c r="O10" s="7"/>
      <c r="P10" s="12">
        <v>0</v>
      </c>
      <c r="Q10" s="90">
        <f t="shared" ref="Q10:Q30" si="3">P10*$E10</f>
        <v>0</v>
      </c>
    </row>
    <row r="11" spans="1:18" ht="16.5" customHeight="1" x14ac:dyDescent="0.4">
      <c r="A11" s="10"/>
      <c r="B11" s="7" t="s">
        <v>82</v>
      </c>
      <c r="C11" s="7"/>
      <c r="D11" s="55" t="s">
        <v>11</v>
      </c>
      <c r="E11" s="11">
        <v>1.34</v>
      </c>
      <c r="F11" s="7"/>
      <c r="G11" s="12">
        <v>30</v>
      </c>
      <c r="H11" s="90">
        <f t="shared" si="0"/>
        <v>40.200000000000003</v>
      </c>
      <c r="I11" s="7"/>
      <c r="J11" s="12">
        <v>0</v>
      </c>
      <c r="K11" s="90">
        <f t="shared" si="1"/>
        <v>0</v>
      </c>
      <c r="L11" s="7"/>
      <c r="M11" s="16">
        <v>0</v>
      </c>
      <c r="N11" s="90">
        <f t="shared" si="2"/>
        <v>0</v>
      </c>
      <c r="O11" s="7"/>
      <c r="P11" s="12">
        <v>0</v>
      </c>
      <c r="Q11" s="90">
        <f t="shared" si="3"/>
        <v>0</v>
      </c>
    </row>
    <row r="12" spans="1:18" ht="16.5" customHeight="1" x14ac:dyDescent="0.4">
      <c r="A12" s="10"/>
      <c r="B12" s="7" t="s">
        <v>83</v>
      </c>
      <c r="C12" s="7"/>
      <c r="D12" s="55" t="s">
        <v>11</v>
      </c>
      <c r="E12" s="11">
        <v>3.1</v>
      </c>
      <c r="F12" s="7"/>
      <c r="G12" s="12">
        <v>0</v>
      </c>
      <c r="H12" s="90">
        <f>G12*$E12</f>
        <v>0</v>
      </c>
      <c r="I12" s="7"/>
      <c r="J12" s="12">
        <v>21</v>
      </c>
      <c r="K12" s="90">
        <f>J12*$E12</f>
        <v>65.100000000000009</v>
      </c>
      <c r="L12" s="7"/>
      <c r="M12" s="16">
        <v>0</v>
      </c>
      <c r="N12" s="90">
        <f>M12*$E12</f>
        <v>0</v>
      </c>
      <c r="O12" s="7"/>
      <c r="P12" s="12">
        <v>0</v>
      </c>
      <c r="Q12" s="90">
        <f t="shared" si="3"/>
        <v>0</v>
      </c>
    </row>
    <row r="13" spans="1:18" ht="16.5" customHeight="1" x14ac:dyDescent="0.4">
      <c r="A13" s="10"/>
      <c r="B13" s="7" t="s">
        <v>84</v>
      </c>
      <c r="C13" s="7"/>
      <c r="D13" s="55" t="s">
        <v>53</v>
      </c>
      <c r="E13" s="11">
        <v>5.5</v>
      </c>
      <c r="F13" s="7"/>
      <c r="G13" s="12">
        <v>0</v>
      </c>
      <c r="H13" s="90">
        <f>G13*$E13</f>
        <v>0</v>
      </c>
      <c r="I13" s="7"/>
      <c r="J13" s="12">
        <v>218</v>
      </c>
      <c r="K13" s="90">
        <f>J13*$E13</f>
        <v>1199</v>
      </c>
      <c r="L13" s="7"/>
      <c r="M13" s="16">
        <v>0</v>
      </c>
      <c r="N13" s="90">
        <f>M13*$E13</f>
        <v>0</v>
      </c>
      <c r="O13" s="7"/>
      <c r="P13" s="12">
        <v>21.8</v>
      </c>
      <c r="Q13" s="90">
        <f t="shared" si="3"/>
        <v>119.9</v>
      </c>
    </row>
    <row r="14" spans="1:18" ht="16.5" customHeight="1" x14ac:dyDescent="0.4">
      <c r="A14" s="10"/>
      <c r="B14" s="7" t="s">
        <v>85</v>
      </c>
      <c r="C14" s="7"/>
      <c r="D14" s="55"/>
      <c r="E14" s="91"/>
      <c r="F14" s="7"/>
      <c r="G14" s="92"/>
      <c r="H14" s="90"/>
      <c r="I14" s="7"/>
      <c r="J14" s="92"/>
      <c r="K14" s="90"/>
      <c r="L14" s="7"/>
      <c r="M14" s="93"/>
      <c r="N14" s="90"/>
      <c r="O14" s="7"/>
      <c r="P14" s="92"/>
      <c r="Q14" s="90"/>
    </row>
    <row r="15" spans="1:18" ht="16.5" customHeight="1" x14ac:dyDescent="0.4">
      <c r="A15" s="10"/>
      <c r="C15" s="7" t="s">
        <v>59</v>
      </c>
      <c r="D15" s="55" t="s">
        <v>11</v>
      </c>
      <c r="E15" s="11">
        <v>0.6</v>
      </c>
      <c r="F15" s="7"/>
      <c r="G15" s="12">
        <v>0</v>
      </c>
      <c r="H15" s="90">
        <f t="shared" ref="H15:H30" si="4">G15*$E15</f>
        <v>0</v>
      </c>
      <c r="I15" s="7"/>
      <c r="J15" s="12">
        <v>100</v>
      </c>
      <c r="K15" s="90">
        <f t="shared" ref="K15:K30" si="5">J15*$E15</f>
        <v>60</v>
      </c>
      <c r="L15" s="7"/>
      <c r="M15" s="16">
        <v>60</v>
      </c>
      <c r="N15" s="90">
        <f t="shared" ref="N15:N30" si="6">M15*$E15</f>
        <v>36</v>
      </c>
      <c r="O15" s="7"/>
      <c r="P15" s="12">
        <v>120</v>
      </c>
      <c r="Q15" s="90">
        <f t="shared" si="3"/>
        <v>72</v>
      </c>
    </row>
    <row r="16" spans="1:18" ht="16.5" customHeight="1" x14ac:dyDescent="0.4">
      <c r="A16" s="10"/>
      <c r="C16" s="7" t="s">
        <v>60</v>
      </c>
      <c r="D16" s="55" t="s">
        <v>11</v>
      </c>
      <c r="E16" s="11">
        <v>0.55000000000000004</v>
      </c>
      <c r="F16" s="7"/>
      <c r="G16" s="12">
        <v>84</v>
      </c>
      <c r="H16" s="90">
        <f t="shared" si="4"/>
        <v>46.2</v>
      </c>
      <c r="I16" s="7"/>
      <c r="J16" s="12">
        <v>0</v>
      </c>
      <c r="K16" s="90">
        <f t="shared" si="5"/>
        <v>0</v>
      </c>
      <c r="L16" s="7"/>
      <c r="M16" s="16">
        <v>0</v>
      </c>
      <c r="N16" s="90">
        <f t="shared" si="6"/>
        <v>0</v>
      </c>
      <c r="O16" s="7"/>
      <c r="P16" s="12">
        <v>0</v>
      </c>
      <c r="Q16" s="90">
        <f t="shared" si="3"/>
        <v>0</v>
      </c>
    </row>
    <row r="17" spans="1:17" ht="16.5" customHeight="1" x14ac:dyDescent="0.4">
      <c r="A17" s="10"/>
      <c r="C17" s="7" t="s">
        <v>61</v>
      </c>
      <c r="D17" s="55" t="s">
        <v>11</v>
      </c>
      <c r="E17" s="11">
        <v>0.38</v>
      </c>
      <c r="F17" s="7"/>
      <c r="G17" s="12">
        <v>151.19999999999999</v>
      </c>
      <c r="H17" s="90">
        <f t="shared" si="4"/>
        <v>57.455999999999996</v>
      </c>
      <c r="I17" s="7"/>
      <c r="J17" s="12">
        <v>0</v>
      </c>
      <c r="K17" s="90">
        <f t="shared" si="5"/>
        <v>0</v>
      </c>
      <c r="L17" s="7"/>
      <c r="M17" s="16">
        <v>0</v>
      </c>
      <c r="N17" s="90">
        <f t="shared" si="6"/>
        <v>0</v>
      </c>
      <c r="O17" s="7"/>
      <c r="P17" s="12">
        <v>0</v>
      </c>
      <c r="Q17" s="90">
        <f t="shared" si="3"/>
        <v>0</v>
      </c>
    </row>
    <row r="18" spans="1:17" ht="16.5" customHeight="1" x14ac:dyDescent="0.4">
      <c r="A18" s="10"/>
      <c r="C18" s="7" t="s">
        <v>62</v>
      </c>
      <c r="D18" s="55" t="s">
        <v>54</v>
      </c>
      <c r="E18" s="11">
        <v>30</v>
      </c>
      <c r="F18" s="7"/>
      <c r="G18" s="12">
        <v>0</v>
      </c>
      <c r="H18" s="90">
        <f t="shared" si="4"/>
        <v>0</v>
      </c>
      <c r="I18" s="7"/>
      <c r="J18" s="12">
        <v>0</v>
      </c>
      <c r="K18" s="90">
        <f t="shared" si="5"/>
        <v>0</v>
      </c>
      <c r="L18" s="7"/>
      <c r="M18" s="16">
        <v>0</v>
      </c>
      <c r="N18" s="90">
        <f t="shared" si="6"/>
        <v>0</v>
      </c>
      <c r="O18" s="7"/>
      <c r="P18" s="12">
        <v>0</v>
      </c>
      <c r="Q18" s="90">
        <f t="shared" si="3"/>
        <v>0</v>
      </c>
    </row>
    <row r="19" spans="1:17" ht="16.5" customHeight="1" x14ac:dyDescent="0.4">
      <c r="A19" s="10"/>
      <c r="B19" s="7" t="s">
        <v>86</v>
      </c>
      <c r="C19" s="7"/>
      <c r="D19" s="55"/>
      <c r="E19" s="50"/>
      <c r="F19" s="7"/>
      <c r="G19" s="92"/>
      <c r="H19" s="90"/>
      <c r="I19" s="7"/>
      <c r="J19" s="92"/>
      <c r="K19" s="90"/>
      <c r="L19" s="7"/>
      <c r="M19" s="93"/>
      <c r="N19" s="90"/>
      <c r="O19" s="7"/>
      <c r="P19" s="92"/>
      <c r="Q19" s="90"/>
    </row>
    <row r="20" spans="1:17" ht="16.5" customHeight="1" x14ac:dyDescent="0.4">
      <c r="A20" s="10"/>
      <c r="C20" s="7" t="s">
        <v>63</v>
      </c>
      <c r="D20" s="55" t="s">
        <v>11</v>
      </c>
      <c r="E20" s="11">
        <v>5.5</v>
      </c>
      <c r="F20" s="7"/>
      <c r="G20" s="12">
        <v>0</v>
      </c>
      <c r="H20" s="90">
        <f t="shared" si="4"/>
        <v>0</v>
      </c>
      <c r="I20" s="7"/>
      <c r="J20" s="12">
        <v>0</v>
      </c>
      <c r="K20" s="90">
        <f t="shared" si="5"/>
        <v>0</v>
      </c>
      <c r="L20" s="7"/>
      <c r="M20" s="16">
        <v>8</v>
      </c>
      <c r="N20" s="90">
        <f t="shared" si="6"/>
        <v>44</v>
      </c>
      <c r="O20" s="7"/>
      <c r="P20" s="12">
        <v>8</v>
      </c>
      <c r="Q20" s="90">
        <f t="shared" si="3"/>
        <v>44</v>
      </c>
    </row>
    <row r="21" spans="1:17" ht="16.5" customHeight="1" x14ac:dyDescent="0.4">
      <c r="A21" s="10"/>
      <c r="C21" s="7" t="s">
        <v>64</v>
      </c>
      <c r="D21" s="55" t="s">
        <v>11</v>
      </c>
      <c r="E21" s="11">
        <v>47.48</v>
      </c>
      <c r="F21" s="7"/>
      <c r="G21" s="12">
        <v>0</v>
      </c>
      <c r="H21" s="90">
        <f t="shared" si="4"/>
        <v>0</v>
      </c>
      <c r="I21" s="7"/>
      <c r="J21" s="12">
        <v>0</v>
      </c>
      <c r="K21" s="90">
        <f t="shared" si="5"/>
        <v>0</v>
      </c>
      <c r="L21" s="7"/>
      <c r="M21" s="16">
        <v>3</v>
      </c>
      <c r="N21" s="90">
        <f t="shared" si="6"/>
        <v>142.44</v>
      </c>
      <c r="O21" s="7"/>
      <c r="P21" s="12">
        <v>3</v>
      </c>
      <c r="Q21" s="90">
        <f t="shared" si="3"/>
        <v>142.44</v>
      </c>
    </row>
    <row r="22" spans="1:17" ht="16.5" customHeight="1" x14ac:dyDescent="0.4">
      <c r="A22" s="10"/>
      <c r="C22" s="7" t="s">
        <v>65</v>
      </c>
      <c r="D22" s="55" t="s">
        <v>55</v>
      </c>
      <c r="E22" s="11">
        <v>24.99</v>
      </c>
      <c r="F22" s="7"/>
      <c r="G22" s="12">
        <v>0</v>
      </c>
      <c r="H22" s="90">
        <f t="shared" si="4"/>
        <v>0</v>
      </c>
      <c r="I22" s="7"/>
      <c r="J22" s="12">
        <v>0</v>
      </c>
      <c r="K22" s="90">
        <f t="shared" si="5"/>
        <v>0</v>
      </c>
      <c r="L22" s="7"/>
      <c r="M22" s="16">
        <v>0</v>
      </c>
      <c r="N22" s="90">
        <f t="shared" si="6"/>
        <v>0</v>
      </c>
      <c r="O22" s="7"/>
      <c r="P22" s="12">
        <v>12</v>
      </c>
      <c r="Q22" s="90">
        <f t="shared" si="3"/>
        <v>299.88</v>
      </c>
    </row>
    <row r="23" spans="1:17" ht="16.5" customHeight="1" x14ac:dyDescent="0.4">
      <c r="A23" s="10"/>
      <c r="C23" s="7" t="s">
        <v>66</v>
      </c>
      <c r="D23" s="55" t="s">
        <v>56</v>
      </c>
      <c r="E23" s="11">
        <v>3.67</v>
      </c>
      <c r="F23" s="7"/>
      <c r="G23" s="12">
        <v>0</v>
      </c>
      <c r="H23" s="90">
        <f t="shared" si="4"/>
        <v>0</v>
      </c>
      <c r="I23" s="7"/>
      <c r="J23" s="12">
        <v>0</v>
      </c>
      <c r="K23" s="90">
        <f t="shared" si="5"/>
        <v>0</v>
      </c>
      <c r="L23" s="7"/>
      <c r="M23" s="16">
        <v>0</v>
      </c>
      <c r="N23" s="90">
        <f t="shared" si="6"/>
        <v>0</v>
      </c>
      <c r="O23" s="7"/>
      <c r="P23" s="12">
        <v>20</v>
      </c>
      <c r="Q23" s="90">
        <f t="shared" si="3"/>
        <v>73.400000000000006</v>
      </c>
    </row>
    <row r="24" spans="1:17" ht="16.5" customHeight="1" x14ac:dyDescent="0.4">
      <c r="A24" s="10"/>
      <c r="B24" s="7" t="s">
        <v>87</v>
      </c>
      <c r="C24" s="7"/>
      <c r="D24" s="55"/>
      <c r="E24" s="50"/>
      <c r="F24" s="7"/>
      <c r="G24" s="92"/>
      <c r="H24" s="90"/>
      <c r="I24" s="7"/>
      <c r="J24" s="92"/>
      <c r="K24" s="90"/>
      <c r="L24" s="7"/>
      <c r="M24" s="93"/>
      <c r="N24" s="90"/>
      <c r="O24" s="7"/>
      <c r="P24" s="92"/>
      <c r="Q24" s="90"/>
    </row>
    <row r="25" spans="1:17" ht="16.5" customHeight="1" x14ac:dyDescent="0.4">
      <c r="A25" s="10"/>
      <c r="C25" s="7" t="s">
        <v>67</v>
      </c>
      <c r="D25" s="55" t="s">
        <v>56</v>
      </c>
      <c r="E25" s="11">
        <v>2.73</v>
      </c>
      <c r="F25" s="7"/>
      <c r="G25" s="12">
        <v>0</v>
      </c>
      <c r="H25" s="90">
        <f t="shared" si="4"/>
        <v>0</v>
      </c>
      <c r="I25" s="7"/>
      <c r="J25" s="12">
        <v>5.3</v>
      </c>
      <c r="K25" s="90">
        <f t="shared" si="5"/>
        <v>14.468999999999999</v>
      </c>
      <c r="L25" s="7"/>
      <c r="M25" s="16">
        <v>5.3</v>
      </c>
      <c r="N25" s="90">
        <f t="shared" si="6"/>
        <v>14.468999999999999</v>
      </c>
      <c r="O25" s="7"/>
      <c r="P25" s="12">
        <v>5.3</v>
      </c>
      <c r="Q25" s="90">
        <f t="shared" si="3"/>
        <v>14.468999999999999</v>
      </c>
    </row>
    <row r="26" spans="1:17" ht="16.5" customHeight="1" x14ac:dyDescent="0.4">
      <c r="A26" s="10"/>
      <c r="C26" s="7" t="s">
        <v>68</v>
      </c>
      <c r="D26" s="55" t="s">
        <v>56</v>
      </c>
      <c r="E26" s="11">
        <v>1.01</v>
      </c>
      <c r="F26" s="7"/>
      <c r="G26" s="12">
        <v>0</v>
      </c>
      <c r="H26" s="90">
        <f t="shared" si="4"/>
        <v>0</v>
      </c>
      <c r="I26" s="7"/>
      <c r="J26" s="12">
        <v>0</v>
      </c>
      <c r="K26" s="90">
        <f t="shared" si="5"/>
        <v>0</v>
      </c>
      <c r="L26" s="7"/>
      <c r="M26" s="16">
        <v>8</v>
      </c>
      <c r="N26" s="90">
        <f t="shared" si="6"/>
        <v>8.08</v>
      </c>
      <c r="O26" s="7"/>
      <c r="P26" s="12">
        <v>8</v>
      </c>
      <c r="Q26" s="90">
        <f t="shared" si="3"/>
        <v>8.08</v>
      </c>
    </row>
    <row r="27" spans="1:17" ht="16.5" customHeight="1" x14ac:dyDescent="0.4">
      <c r="A27" s="10"/>
      <c r="B27" s="7" t="s">
        <v>88</v>
      </c>
      <c r="C27" s="7"/>
      <c r="D27" s="55"/>
      <c r="E27" s="50"/>
      <c r="F27" s="7"/>
      <c r="G27" s="92"/>
      <c r="H27" s="90"/>
      <c r="I27" s="7"/>
      <c r="J27" s="92"/>
      <c r="K27" s="90"/>
      <c r="L27" s="7"/>
      <c r="M27" s="93"/>
      <c r="N27" s="90"/>
      <c r="O27" s="7"/>
      <c r="P27" s="92"/>
      <c r="Q27" s="90"/>
    </row>
    <row r="28" spans="1:17" ht="16.5" customHeight="1" x14ac:dyDescent="0.4">
      <c r="A28" s="10"/>
      <c r="C28" s="7" t="s">
        <v>69</v>
      </c>
      <c r="D28" s="55" t="s">
        <v>11</v>
      </c>
      <c r="E28" s="11">
        <v>19.989999999999998</v>
      </c>
      <c r="F28" s="7"/>
      <c r="G28" s="12">
        <v>0</v>
      </c>
      <c r="H28" s="90">
        <f t="shared" si="4"/>
        <v>0</v>
      </c>
      <c r="I28" s="7"/>
      <c r="J28" s="12">
        <v>0</v>
      </c>
      <c r="K28" s="90">
        <f t="shared" si="5"/>
        <v>0</v>
      </c>
      <c r="L28" s="7"/>
      <c r="M28" s="16">
        <v>8</v>
      </c>
      <c r="N28" s="90">
        <f t="shared" si="6"/>
        <v>159.91999999999999</v>
      </c>
      <c r="O28" s="7"/>
      <c r="P28" s="12">
        <v>8</v>
      </c>
      <c r="Q28" s="90">
        <f t="shared" si="3"/>
        <v>159.91999999999999</v>
      </c>
    </row>
    <row r="29" spans="1:17" ht="16.5" customHeight="1" x14ac:dyDescent="0.4">
      <c r="A29" s="10"/>
      <c r="C29" s="7" t="s">
        <v>70</v>
      </c>
      <c r="D29" s="55" t="s">
        <v>11</v>
      </c>
      <c r="E29" s="11">
        <v>8</v>
      </c>
      <c r="F29" s="7"/>
      <c r="G29" s="12">
        <v>0</v>
      </c>
      <c r="H29" s="90">
        <f t="shared" si="4"/>
        <v>0</v>
      </c>
      <c r="I29" s="7"/>
      <c r="J29" s="12">
        <v>0</v>
      </c>
      <c r="K29" s="90">
        <f t="shared" si="5"/>
        <v>0</v>
      </c>
      <c r="L29" s="7"/>
      <c r="M29" s="16">
        <v>2.2000000000000002</v>
      </c>
      <c r="N29" s="90">
        <f t="shared" si="6"/>
        <v>17.600000000000001</v>
      </c>
      <c r="O29" s="7"/>
      <c r="P29" s="12">
        <v>4.4000000000000004</v>
      </c>
      <c r="Q29" s="90">
        <f t="shared" si="3"/>
        <v>35.200000000000003</v>
      </c>
    </row>
    <row r="30" spans="1:17" ht="16.5" customHeight="1" x14ac:dyDescent="0.4">
      <c r="A30" s="10"/>
      <c r="C30" s="7" t="s">
        <v>71</v>
      </c>
      <c r="D30" s="55" t="s">
        <v>55</v>
      </c>
      <c r="E30" s="11">
        <v>76.06</v>
      </c>
      <c r="F30" s="7"/>
      <c r="G30" s="12">
        <v>0</v>
      </c>
      <c r="H30" s="90">
        <f t="shared" si="4"/>
        <v>0</v>
      </c>
      <c r="I30" s="7"/>
      <c r="J30" s="12">
        <v>0</v>
      </c>
      <c r="K30" s="90">
        <f t="shared" si="5"/>
        <v>0</v>
      </c>
      <c r="L30" s="7"/>
      <c r="M30" s="16">
        <v>0.5</v>
      </c>
      <c r="N30" s="90">
        <f t="shared" si="6"/>
        <v>38.03</v>
      </c>
      <c r="O30" s="7"/>
      <c r="P30" s="12">
        <v>0.5</v>
      </c>
      <c r="Q30" s="90">
        <f t="shared" si="3"/>
        <v>38.03</v>
      </c>
    </row>
    <row r="31" spans="1:17" ht="16.5" customHeight="1" x14ac:dyDescent="0.4">
      <c r="A31" s="10"/>
      <c r="B31" s="7" t="s">
        <v>89</v>
      </c>
      <c r="C31" s="7"/>
      <c r="D31" s="55" t="s">
        <v>12</v>
      </c>
      <c r="E31" s="11">
        <v>0.06</v>
      </c>
      <c r="F31" s="7"/>
      <c r="G31" s="12">
        <v>0</v>
      </c>
      <c r="H31" s="90">
        <f>G31*E31</f>
        <v>0</v>
      </c>
      <c r="I31" s="7"/>
      <c r="J31" s="12">
        <v>4368</v>
      </c>
      <c r="K31" s="90">
        <f>J31*E31</f>
        <v>262.08</v>
      </c>
      <c r="L31" s="7"/>
      <c r="M31" s="16">
        <v>0</v>
      </c>
      <c r="N31" s="90">
        <f>M31*E31</f>
        <v>0</v>
      </c>
      <c r="O31" s="7"/>
      <c r="P31" s="12">
        <v>0</v>
      </c>
      <c r="Q31" s="90">
        <f>P31*E31</f>
        <v>0</v>
      </c>
    </row>
    <row r="32" spans="1:17" ht="16.5" customHeight="1" x14ac:dyDescent="0.4">
      <c r="A32" s="10"/>
      <c r="B32" s="7" t="s">
        <v>90</v>
      </c>
      <c r="C32" s="7"/>
      <c r="D32" s="55" t="s">
        <v>43</v>
      </c>
      <c r="E32" s="11">
        <v>92.36</v>
      </c>
      <c r="F32" s="7"/>
      <c r="G32" s="12">
        <v>0</v>
      </c>
      <c r="H32" s="90">
        <f>G32*$E32</f>
        <v>0</v>
      </c>
      <c r="I32" s="7"/>
      <c r="J32" s="12">
        <v>3</v>
      </c>
      <c r="K32" s="90">
        <f>J32*$E32</f>
        <v>277.08</v>
      </c>
      <c r="L32" s="7"/>
      <c r="M32" s="16">
        <v>3</v>
      </c>
      <c r="N32" s="90">
        <f>M32*$E32</f>
        <v>277.08</v>
      </c>
      <c r="O32" s="7"/>
      <c r="P32" s="12">
        <v>3</v>
      </c>
      <c r="Q32" s="90">
        <f>P32*$E32</f>
        <v>277.08</v>
      </c>
    </row>
    <row r="33" spans="1:20" ht="16.5" customHeight="1" x14ac:dyDescent="0.4">
      <c r="A33" s="10"/>
      <c r="B33" s="7" t="s">
        <v>91</v>
      </c>
      <c r="C33" s="7"/>
      <c r="D33" s="55" t="s">
        <v>8</v>
      </c>
      <c r="E33" s="11">
        <v>25</v>
      </c>
      <c r="F33" s="7"/>
      <c r="G33" s="12">
        <v>0</v>
      </c>
      <c r="H33" s="90">
        <f>G33*$E33</f>
        <v>0</v>
      </c>
      <c r="I33" s="7"/>
      <c r="J33" s="12">
        <v>0</v>
      </c>
      <c r="K33" s="90">
        <f>J33*$E33</f>
        <v>0</v>
      </c>
      <c r="L33" s="7"/>
      <c r="M33" s="16">
        <v>1</v>
      </c>
      <c r="N33" s="90">
        <f>M33*$E33</f>
        <v>25</v>
      </c>
      <c r="O33" s="7"/>
      <c r="P33" s="12">
        <v>1</v>
      </c>
      <c r="Q33" s="90">
        <f>P33*$E33</f>
        <v>25</v>
      </c>
    </row>
    <row r="34" spans="1:20" ht="16.5" customHeight="1" x14ac:dyDescent="0.4">
      <c r="A34" s="10"/>
      <c r="B34" s="7" t="s">
        <v>57</v>
      </c>
      <c r="C34" s="7"/>
      <c r="D34" s="55"/>
      <c r="E34" s="91"/>
      <c r="F34" s="7"/>
      <c r="G34" s="92"/>
      <c r="H34" s="90"/>
      <c r="I34" s="7"/>
      <c r="J34" s="92"/>
      <c r="K34" s="90"/>
      <c r="L34" s="7"/>
      <c r="M34" s="93"/>
      <c r="N34" s="90"/>
      <c r="O34" s="7"/>
      <c r="P34" s="92"/>
      <c r="Q34" s="90"/>
    </row>
    <row r="35" spans="1:20" ht="16.5" customHeight="1" x14ac:dyDescent="0.4">
      <c r="A35" s="10"/>
      <c r="B35" s="7"/>
      <c r="C35" s="7" t="s">
        <v>72</v>
      </c>
      <c r="D35" s="55" t="s">
        <v>45</v>
      </c>
      <c r="E35" s="11">
        <v>15.71</v>
      </c>
      <c r="F35" s="7"/>
      <c r="G35" s="12">
        <v>7</v>
      </c>
      <c r="H35" s="90">
        <f>G35*E35</f>
        <v>109.97</v>
      </c>
      <c r="I35" s="7"/>
      <c r="J35" s="12">
        <v>72</v>
      </c>
      <c r="K35" s="90">
        <f>J35*E35</f>
        <v>1131.1200000000001</v>
      </c>
      <c r="L35" s="7"/>
      <c r="M35" s="16">
        <v>43</v>
      </c>
      <c r="N35" s="90">
        <f>M35*E35</f>
        <v>675.53000000000009</v>
      </c>
      <c r="O35" s="7"/>
      <c r="P35" s="12">
        <v>55</v>
      </c>
      <c r="Q35" s="90">
        <f>P35*E35</f>
        <v>864.05000000000007</v>
      </c>
      <c r="T35" s="52"/>
    </row>
    <row r="36" spans="1:20" ht="16.5" customHeight="1" x14ac:dyDescent="0.4">
      <c r="A36" s="10"/>
      <c r="B36" s="7"/>
      <c r="C36" s="7" t="s">
        <v>73</v>
      </c>
      <c r="D36" s="55" t="s">
        <v>45</v>
      </c>
      <c r="E36" s="11">
        <v>15.71</v>
      </c>
      <c r="F36" s="7"/>
      <c r="G36" s="12">
        <v>0</v>
      </c>
      <c r="H36" s="90">
        <f t="shared" ref="H36:H40" si="7">G36*E36</f>
        <v>0</v>
      </c>
      <c r="I36" s="7"/>
      <c r="J36" s="12">
        <v>0</v>
      </c>
      <c r="K36" s="90">
        <f t="shared" ref="K36:K40" si="8">J36*E36</f>
        <v>0</v>
      </c>
      <c r="L36" s="7"/>
      <c r="M36" s="16">
        <v>71.755630434782603</v>
      </c>
      <c r="N36" s="90">
        <f t="shared" ref="N36:N40" si="9">M36*E36</f>
        <v>1127.2809541304348</v>
      </c>
      <c r="O36" s="7"/>
      <c r="P36" s="12">
        <v>230.02804956521737</v>
      </c>
      <c r="Q36" s="90">
        <f t="shared" ref="Q36:Q40" si="10">P36*E36</f>
        <v>3613.7406586695652</v>
      </c>
      <c r="T36" s="52"/>
    </row>
    <row r="37" spans="1:20" ht="16.5" customHeight="1" x14ac:dyDescent="0.4">
      <c r="A37" s="10"/>
      <c r="B37" s="7"/>
      <c r="C37" s="7" t="s">
        <v>74</v>
      </c>
      <c r="D37" s="55" t="s">
        <v>45</v>
      </c>
      <c r="E37" s="11">
        <v>15.71</v>
      </c>
      <c r="F37" s="7"/>
      <c r="G37" s="12">
        <v>0</v>
      </c>
      <c r="H37" s="90">
        <f t="shared" si="7"/>
        <v>0</v>
      </c>
      <c r="I37" s="7"/>
      <c r="J37" s="12">
        <v>0</v>
      </c>
      <c r="K37" s="90">
        <f t="shared" si="8"/>
        <v>0</v>
      </c>
      <c r="L37" s="7"/>
      <c r="M37" s="16">
        <v>0</v>
      </c>
      <c r="N37" s="90">
        <f t="shared" si="9"/>
        <v>0</v>
      </c>
      <c r="O37" s="7"/>
      <c r="P37" s="12">
        <v>0</v>
      </c>
      <c r="Q37" s="90">
        <f t="shared" si="10"/>
        <v>0</v>
      </c>
      <c r="T37" s="52"/>
    </row>
    <row r="38" spans="1:20" ht="16.5" customHeight="1" x14ac:dyDescent="0.4">
      <c r="A38" s="10"/>
      <c r="B38" s="7" t="s">
        <v>58</v>
      </c>
      <c r="C38" s="7"/>
      <c r="D38" s="55"/>
      <c r="E38" s="91"/>
      <c r="F38" s="7"/>
      <c r="G38" s="92"/>
      <c r="H38" s="90"/>
      <c r="I38" s="7"/>
      <c r="J38" s="92"/>
      <c r="K38" s="90"/>
      <c r="L38" s="7"/>
      <c r="M38" s="93"/>
      <c r="N38" s="90"/>
      <c r="O38" s="7"/>
      <c r="P38" s="92"/>
      <c r="Q38" s="90"/>
    </row>
    <row r="39" spans="1:20" ht="16.5" customHeight="1" x14ac:dyDescent="0.4">
      <c r="A39" s="10"/>
      <c r="B39" s="7"/>
      <c r="C39" s="7" t="s">
        <v>75</v>
      </c>
      <c r="D39" s="55" t="s">
        <v>8</v>
      </c>
      <c r="E39" s="11">
        <v>0.39</v>
      </c>
      <c r="F39" s="7"/>
      <c r="G39" s="12">
        <v>0</v>
      </c>
      <c r="H39" s="90">
        <f t="shared" si="7"/>
        <v>0</v>
      </c>
      <c r="I39" s="7"/>
      <c r="J39" s="12">
        <v>0</v>
      </c>
      <c r="K39" s="90">
        <f t="shared" si="8"/>
        <v>0</v>
      </c>
      <c r="L39" s="7"/>
      <c r="M39" s="16">
        <v>2200.5059999999999</v>
      </c>
      <c r="N39" s="90">
        <f t="shared" si="9"/>
        <v>858.19733999999994</v>
      </c>
      <c r="O39" s="7"/>
      <c r="P39" s="12">
        <v>7054.1935199999998</v>
      </c>
      <c r="Q39" s="90">
        <f t="shared" si="10"/>
        <v>2751.1354728000001</v>
      </c>
    </row>
    <row r="40" spans="1:20" ht="16.5" customHeight="1" x14ac:dyDescent="0.4">
      <c r="A40" s="10"/>
      <c r="B40" s="7"/>
      <c r="C40" s="7" t="s">
        <v>76</v>
      </c>
      <c r="D40" s="55" t="s">
        <v>8</v>
      </c>
      <c r="E40" s="11">
        <v>1.35</v>
      </c>
      <c r="F40" s="7"/>
      <c r="G40" s="12">
        <v>0</v>
      </c>
      <c r="H40" s="90">
        <f t="shared" si="7"/>
        <v>0</v>
      </c>
      <c r="I40" s="7"/>
      <c r="J40" s="12">
        <v>0</v>
      </c>
      <c r="K40" s="90">
        <f t="shared" si="8"/>
        <v>0</v>
      </c>
      <c r="L40" s="7"/>
      <c r="M40" s="16">
        <v>183.37549999999999</v>
      </c>
      <c r="N40" s="90">
        <f t="shared" si="9"/>
        <v>247.55692500000001</v>
      </c>
      <c r="O40" s="7"/>
      <c r="P40" s="12">
        <v>587.84946000000002</v>
      </c>
      <c r="Q40" s="90">
        <f t="shared" si="10"/>
        <v>793.5967710000001</v>
      </c>
    </row>
    <row r="41" spans="1:20" ht="16.5" customHeight="1" x14ac:dyDescent="0.4">
      <c r="A41" s="10"/>
      <c r="B41" s="7" t="s">
        <v>77</v>
      </c>
      <c r="C41" s="7"/>
      <c r="D41" s="94" t="s">
        <v>41</v>
      </c>
      <c r="E41" s="13">
        <v>0.1</v>
      </c>
      <c r="F41" s="95"/>
      <c r="G41" s="92">
        <f>H6</f>
        <v>0</v>
      </c>
      <c r="H41" s="90">
        <f>G41*E41</f>
        <v>0</v>
      </c>
      <c r="I41" s="7"/>
      <c r="J41" s="92">
        <f>K6</f>
        <v>0</v>
      </c>
      <c r="K41" s="90">
        <f>J41*E41</f>
        <v>0</v>
      </c>
      <c r="L41" s="7"/>
      <c r="M41" s="93">
        <f>N6</f>
        <v>4984.1460900000002</v>
      </c>
      <c r="N41" s="90">
        <f>M41*E41</f>
        <v>498.41460900000004</v>
      </c>
      <c r="O41" s="7"/>
      <c r="P41" s="92">
        <f>Q6</f>
        <v>15977.748322799998</v>
      </c>
      <c r="Q41" s="90">
        <f>P41*$E41</f>
        <v>1597.7748322799998</v>
      </c>
    </row>
    <row r="42" spans="1:20" ht="16.5" customHeight="1" x14ac:dyDescent="0.4">
      <c r="A42" s="10"/>
      <c r="B42" s="7" t="s">
        <v>93</v>
      </c>
      <c r="C42" s="7"/>
      <c r="D42" s="55" t="s">
        <v>43</v>
      </c>
      <c r="E42" s="11">
        <v>375</v>
      </c>
      <c r="G42" s="12">
        <v>0</v>
      </c>
      <c r="H42" s="90">
        <f>G42*E42</f>
        <v>0</v>
      </c>
      <c r="J42" s="12">
        <v>0</v>
      </c>
      <c r="K42" s="90">
        <f>J42*E42</f>
        <v>0</v>
      </c>
      <c r="L42" s="7"/>
      <c r="M42" s="16">
        <v>1</v>
      </c>
      <c r="N42" s="90">
        <f>M42*E42</f>
        <v>375</v>
      </c>
      <c r="O42" s="7"/>
      <c r="P42" s="12">
        <v>1</v>
      </c>
      <c r="Q42" s="90">
        <f>P42*$E42</f>
        <v>375</v>
      </c>
    </row>
    <row r="43" spans="1:20" ht="16.5" customHeight="1" x14ac:dyDescent="0.4">
      <c r="A43" s="10"/>
      <c r="B43" s="7" t="s">
        <v>108</v>
      </c>
      <c r="C43" s="7"/>
      <c r="D43" s="55"/>
      <c r="E43" s="96"/>
      <c r="F43" s="7"/>
      <c r="G43" s="92"/>
      <c r="H43" s="90"/>
      <c r="I43" s="7"/>
      <c r="J43" s="92"/>
      <c r="K43" s="90"/>
      <c r="L43" s="7"/>
      <c r="M43" s="93"/>
      <c r="N43" s="90"/>
      <c r="O43" s="7"/>
      <c r="P43" s="92"/>
      <c r="Q43" s="90"/>
    </row>
    <row r="44" spans="1:20" ht="16.5" customHeight="1" x14ac:dyDescent="0.4">
      <c r="A44" s="10"/>
      <c r="B44" s="7"/>
      <c r="C44" s="7" t="s">
        <v>94</v>
      </c>
      <c r="D44" s="55" t="s">
        <v>107</v>
      </c>
      <c r="E44" s="11">
        <v>21.020100920931956</v>
      </c>
      <c r="F44" s="7"/>
      <c r="G44" s="12">
        <v>0.25</v>
      </c>
      <c r="H44" s="90">
        <f t="shared" ref="H44:H56" si="11">G44*E44</f>
        <v>5.255025230232989</v>
      </c>
      <c r="I44" s="7"/>
      <c r="J44" s="12">
        <v>0</v>
      </c>
      <c r="K44" s="90">
        <f t="shared" ref="K44:K56" si="12">J44*E44</f>
        <v>0</v>
      </c>
      <c r="L44" s="7"/>
      <c r="M44" s="12">
        <v>0</v>
      </c>
      <c r="N44" s="90">
        <f t="shared" ref="N44:N56" si="13">M44*E44</f>
        <v>0</v>
      </c>
      <c r="O44" s="7"/>
      <c r="P44" s="12">
        <v>0</v>
      </c>
      <c r="Q44" s="90">
        <f t="shared" ref="Q44:Q56" si="14">P44*$E44</f>
        <v>0</v>
      </c>
    </row>
    <row r="45" spans="1:20" ht="16.5" customHeight="1" x14ac:dyDescent="0.4">
      <c r="A45" s="10"/>
      <c r="B45" s="7"/>
      <c r="C45" s="7" t="s">
        <v>95</v>
      </c>
      <c r="D45" s="55" t="s">
        <v>107</v>
      </c>
      <c r="E45" s="11">
        <v>18.765306976892948</v>
      </c>
      <c r="F45" s="7"/>
      <c r="G45" s="12">
        <v>1</v>
      </c>
      <c r="H45" s="90">
        <f t="shared" si="11"/>
        <v>18.765306976892948</v>
      </c>
      <c r="I45" s="7"/>
      <c r="J45" s="12">
        <v>0</v>
      </c>
      <c r="K45" s="90">
        <f t="shared" si="12"/>
        <v>0</v>
      </c>
      <c r="L45" s="7"/>
      <c r="M45" s="12">
        <v>0</v>
      </c>
      <c r="N45" s="90">
        <f t="shared" si="13"/>
        <v>0</v>
      </c>
      <c r="O45" s="7"/>
      <c r="P45" s="12">
        <v>0</v>
      </c>
      <c r="Q45" s="90">
        <f t="shared" si="14"/>
        <v>0</v>
      </c>
    </row>
    <row r="46" spans="1:20" ht="16.5" customHeight="1" x14ac:dyDescent="0.4">
      <c r="A46" s="10"/>
      <c r="B46" s="7"/>
      <c r="C46" s="7" t="s">
        <v>96</v>
      </c>
      <c r="D46" s="55" t="s">
        <v>107</v>
      </c>
      <c r="E46" s="11">
        <v>15.69730865959397</v>
      </c>
      <c r="F46" s="7"/>
      <c r="G46" s="12">
        <v>1</v>
      </c>
      <c r="H46" s="90">
        <f t="shared" si="11"/>
        <v>15.69730865959397</v>
      </c>
      <c r="I46" s="7"/>
      <c r="J46" s="12">
        <v>0</v>
      </c>
      <c r="K46" s="90">
        <f t="shared" si="12"/>
        <v>0</v>
      </c>
      <c r="L46" s="7"/>
      <c r="M46" s="12">
        <v>0</v>
      </c>
      <c r="N46" s="90">
        <f t="shared" si="13"/>
        <v>0</v>
      </c>
      <c r="O46" s="7"/>
      <c r="P46" s="12">
        <v>0</v>
      </c>
      <c r="Q46" s="90">
        <f t="shared" si="14"/>
        <v>0</v>
      </c>
    </row>
    <row r="47" spans="1:20" ht="16.5" customHeight="1" x14ac:dyDescent="0.4">
      <c r="A47" s="10"/>
      <c r="B47" s="7"/>
      <c r="C47" s="7" t="s">
        <v>97</v>
      </c>
      <c r="D47" s="55" t="s">
        <v>107</v>
      </c>
      <c r="E47" s="11">
        <v>17.336038684496639</v>
      </c>
      <c r="F47" s="7"/>
      <c r="G47" s="12">
        <v>1</v>
      </c>
      <c r="H47" s="90">
        <f t="shared" si="11"/>
        <v>17.336038684496639</v>
      </c>
      <c r="I47" s="7"/>
      <c r="J47" s="12">
        <v>0</v>
      </c>
      <c r="K47" s="90">
        <f t="shared" si="12"/>
        <v>0</v>
      </c>
      <c r="L47" s="7"/>
      <c r="M47" s="12">
        <v>0</v>
      </c>
      <c r="N47" s="90">
        <f t="shared" si="13"/>
        <v>0</v>
      </c>
      <c r="O47" s="7"/>
      <c r="P47" s="12">
        <v>0</v>
      </c>
      <c r="Q47" s="90">
        <f t="shared" si="14"/>
        <v>0</v>
      </c>
    </row>
    <row r="48" spans="1:20" ht="16.5" customHeight="1" x14ac:dyDescent="0.4">
      <c r="A48" s="10"/>
      <c r="B48" s="7"/>
      <c r="C48" s="7" t="s">
        <v>98</v>
      </c>
      <c r="D48" s="55" t="s">
        <v>107</v>
      </c>
      <c r="E48" s="11">
        <v>16.005340619162144</v>
      </c>
      <c r="F48" s="7"/>
      <c r="G48" s="12">
        <v>0</v>
      </c>
      <c r="H48" s="90">
        <f t="shared" si="11"/>
        <v>0</v>
      </c>
      <c r="I48" s="7"/>
      <c r="J48" s="12">
        <v>1</v>
      </c>
      <c r="K48" s="90">
        <f t="shared" si="12"/>
        <v>16.005340619162144</v>
      </c>
      <c r="L48" s="7"/>
      <c r="M48" s="12">
        <v>0</v>
      </c>
      <c r="N48" s="90">
        <f t="shared" si="13"/>
        <v>0</v>
      </c>
      <c r="O48" s="7"/>
      <c r="P48" s="12">
        <v>0</v>
      </c>
      <c r="Q48" s="90">
        <f t="shared" si="14"/>
        <v>0</v>
      </c>
    </row>
    <row r="49" spans="1:18" ht="16.5" customHeight="1" x14ac:dyDescent="0.4">
      <c r="A49" s="10"/>
      <c r="B49" s="7"/>
      <c r="C49" s="7" t="s">
        <v>99</v>
      </c>
      <c r="D49" s="55" t="s">
        <v>107</v>
      </c>
      <c r="E49" s="11">
        <v>10.879688811947782</v>
      </c>
      <c r="F49" s="7"/>
      <c r="G49" s="12">
        <v>1</v>
      </c>
      <c r="H49" s="90">
        <f t="shared" si="11"/>
        <v>10.879688811947782</v>
      </c>
      <c r="I49" s="7"/>
      <c r="J49" s="12">
        <v>1</v>
      </c>
      <c r="K49" s="90">
        <f t="shared" si="12"/>
        <v>10.879688811947782</v>
      </c>
      <c r="L49" s="7"/>
      <c r="M49" s="12">
        <v>0</v>
      </c>
      <c r="N49" s="90">
        <f t="shared" si="13"/>
        <v>0</v>
      </c>
      <c r="O49" s="7"/>
      <c r="P49" s="12">
        <v>0</v>
      </c>
      <c r="Q49" s="90">
        <f t="shared" si="14"/>
        <v>0</v>
      </c>
    </row>
    <row r="50" spans="1:18" ht="16.5" customHeight="1" x14ac:dyDescent="0.4">
      <c r="A50" s="10"/>
      <c r="B50" s="7"/>
      <c r="C50" s="7" t="s">
        <v>100</v>
      </c>
      <c r="D50" s="55" t="s">
        <v>107</v>
      </c>
      <c r="E50" s="11">
        <v>7.602228762142448</v>
      </c>
      <c r="F50" s="7"/>
      <c r="G50" s="12">
        <v>0</v>
      </c>
      <c r="H50" s="90">
        <f t="shared" si="11"/>
        <v>0</v>
      </c>
      <c r="I50" s="7"/>
      <c r="J50" s="12">
        <v>1</v>
      </c>
      <c r="K50" s="90">
        <f t="shared" si="12"/>
        <v>7.602228762142448</v>
      </c>
      <c r="L50" s="7"/>
      <c r="M50" s="12">
        <v>2</v>
      </c>
      <c r="N50" s="90">
        <f t="shared" si="13"/>
        <v>15.204457524284896</v>
      </c>
      <c r="O50" s="7"/>
      <c r="P50" s="12">
        <v>2</v>
      </c>
      <c r="Q50" s="90">
        <f t="shared" si="14"/>
        <v>15.204457524284896</v>
      </c>
    </row>
    <row r="51" spans="1:18" ht="16.5" customHeight="1" x14ac:dyDescent="0.4">
      <c r="A51" s="10"/>
      <c r="B51" s="7"/>
      <c r="C51" s="7" t="s">
        <v>101</v>
      </c>
      <c r="D51" s="55" t="s">
        <v>107</v>
      </c>
      <c r="E51" s="11">
        <v>28.338940280271689</v>
      </c>
      <c r="F51" s="7"/>
      <c r="G51" s="12">
        <v>0</v>
      </c>
      <c r="H51" s="90">
        <f t="shared" si="11"/>
        <v>0</v>
      </c>
      <c r="I51" s="7"/>
      <c r="J51" s="12">
        <v>1</v>
      </c>
      <c r="K51" s="90">
        <f t="shared" si="12"/>
        <v>28.338940280271689</v>
      </c>
      <c r="L51" s="7"/>
      <c r="M51" s="12">
        <v>0</v>
      </c>
      <c r="N51" s="90">
        <f t="shared" si="13"/>
        <v>0</v>
      </c>
      <c r="O51" s="7"/>
      <c r="P51" s="12">
        <v>0</v>
      </c>
      <c r="Q51" s="90">
        <f t="shared" si="14"/>
        <v>0</v>
      </c>
    </row>
    <row r="52" spans="1:18" ht="16.5" customHeight="1" x14ac:dyDescent="0.4">
      <c r="A52" s="10"/>
      <c r="B52" s="7"/>
      <c r="C52" s="7" t="s">
        <v>102</v>
      </c>
      <c r="D52" s="55" t="s">
        <v>107</v>
      </c>
      <c r="E52" s="11">
        <v>15.093566018840356</v>
      </c>
      <c r="F52" s="7"/>
      <c r="G52" s="12">
        <v>0</v>
      </c>
      <c r="H52" s="90">
        <f t="shared" si="11"/>
        <v>0</v>
      </c>
      <c r="I52" s="7"/>
      <c r="J52" s="12">
        <v>2</v>
      </c>
      <c r="K52" s="90">
        <f t="shared" si="12"/>
        <v>30.187132037680712</v>
      </c>
      <c r="L52" s="7"/>
      <c r="M52" s="12">
        <v>2</v>
      </c>
      <c r="N52" s="90">
        <f t="shared" si="13"/>
        <v>30.187132037680712</v>
      </c>
      <c r="O52" s="7"/>
      <c r="P52" s="12">
        <v>2</v>
      </c>
      <c r="Q52" s="90">
        <f t="shared" si="14"/>
        <v>30.187132037680712</v>
      </c>
    </row>
    <row r="53" spans="1:18" ht="16.5" customHeight="1" x14ac:dyDescent="0.4">
      <c r="A53" s="10"/>
      <c r="B53" s="7"/>
      <c r="C53" s="7" t="s">
        <v>103</v>
      </c>
      <c r="D53" s="55" t="s">
        <v>107</v>
      </c>
      <c r="E53" s="11">
        <v>11.508074009466853</v>
      </c>
      <c r="F53" s="7"/>
      <c r="G53" s="12">
        <v>0</v>
      </c>
      <c r="H53" s="90">
        <f t="shared" si="11"/>
        <v>0</v>
      </c>
      <c r="I53" s="7"/>
      <c r="J53" s="12">
        <v>0</v>
      </c>
      <c r="K53" s="90">
        <f t="shared" si="12"/>
        <v>0</v>
      </c>
      <c r="L53" s="7"/>
      <c r="M53" s="12">
        <v>0</v>
      </c>
      <c r="N53" s="90">
        <f t="shared" si="13"/>
        <v>0</v>
      </c>
      <c r="O53" s="7"/>
      <c r="P53" s="12">
        <v>0</v>
      </c>
      <c r="Q53" s="90">
        <f t="shared" si="14"/>
        <v>0</v>
      </c>
    </row>
    <row r="54" spans="1:18" ht="16.5" customHeight="1" x14ac:dyDescent="0.4">
      <c r="A54" s="10"/>
      <c r="B54" s="7"/>
      <c r="C54" s="7" t="s">
        <v>104</v>
      </c>
      <c r="D54" s="55" t="s">
        <v>107</v>
      </c>
      <c r="E54" s="11">
        <v>35.60849452608052</v>
      </c>
      <c r="F54" s="7"/>
      <c r="G54" s="12">
        <v>0</v>
      </c>
      <c r="H54" s="90">
        <f t="shared" si="11"/>
        <v>0</v>
      </c>
      <c r="I54" s="7"/>
      <c r="J54" s="12">
        <v>3</v>
      </c>
      <c r="K54" s="90">
        <f t="shared" si="12"/>
        <v>106.82548357824156</v>
      </c>
      <c r="L54" s="7"/>
      <c r="M54" s="12">
        <v>8.5</v>
      </c>
      <c r="N54" s="90">
        <f t="shared" si="13"/>
        <v>302.67220347168444</v>
      </c>
      <c r="O54" s="7"/>
      <c r="P54" s="12">
        <v>8.5</v>
      </c>
      <c r="Q54" s="90">
        <f t="shared" si="14"/>
        <v>302.67220347168444</v>
      </c>
    </row>
    <row r="55" spans="1:18" ht="16.5" customHeight="1" x14ac:dyDescent="0.4">
      <c r="A55" s="10"/>
      <c r="B55" s="7"/>
      <c r="C55" s="7" t="s">
        <v>105</v>
      </c>
      <c r="D55" s="55" t="s">
        <v>107</v>
      </c>
      <c r="E55" s="11">
        <v>11.582001679763213</v>
      </c>
      <c r="F55" s="7"/>
      <c r="G55" s="12">
        <v>0</v>
      </c>
      <c r="H55" s="90">
        <f t="shared" si="11"/>
        <v>0</v>
      </c>
      <c r="I55" s="7"/>
      <c r="J55" s="12">
        <v>0</v>
      </c>
      <c r="K55" s="90">
        <f t="shared" si="12"/>
        <v>0</v>
      </c>
      <c r="L55" s="7"/>
      <c r="M55" s="12">
        <v>0</v>
      </c>
      <c r="N55" s="90">
        <f t="shared" si="13"/>
        <v>0</v>
      </c>
      <c r="O55" s="7"/>
      <c r="P55" s="12">
        <v>0.25</v>
      </c>
      <c r="Q55" s="90">
        <f t="shared" si="14"/>
        <v>2.8955004199408032</v>
      </c>
    </row>
    <row r="56" spans="1:18" ht="16.5" customHeight="1" x14ac:dyDescent="0.4">
      <c r="A56" s="10"/>
      <c r="B56" s="7"/>
      <c r="C56" s="7" t="s">
        <v>106</v>
      </c>
      <c r="D56" s="55" t="s">
        <v>107</v>
      </c>
      <c r="E56" s="11">
        <v>20.182253990906535</v>
      </c>
      <c r="F56" s="7"/>
      <c r="G56" s="12">
        <v>0</v>
      </c>
      <c r="H56" s="90">
        <f t="shared" si="11"/>
        <v>0</v>
      </c>
      <c r="I56" s="7"/>
      <c r="J56" s="12">
        <v>4</v>
      </c>
      <c r="K56" s="90">
        <f t="shared" si="12"/>
        <v>80.729015963626139</v>
      </c>
      <c r="L56" s="7"/>
      <c r="M56" s="12">
        <v>4</v>
      </c>
      <c r="N56" s="90">
        <f t="shared" si="13"/>
        <v>80.729015963626139</v>
      </c>
      <c r="O56" s="7"/>
      <c r="P56" s="12">
        <v>4</v>
      </c>
      <c r="Q56" s="90">
        <f t="shared" si="14"/>
        <v>80.729015963626139</v>
      </c>
    </row>
    <row r="57" spans="1:18" ht="16.5" customHeight="1" x14ac:dyDescent="0.4">
      <c r="A57" s="10"/>
      <c r="B57" s="7" t="s">
        <v>92</v>
      </c>
      <c r="C57" s="7"/>
      <c r="D57" s="55" t="s">
        <v>13</v>
      </c>
      <c r="E57" s="14">
        <v>7.7499999999999999E-2</v>
      </c>
      <c r="F57" s="7"/>
      <c r="G57" s="92"/>
      <c r="H57" s="88">
        <f>SUM(H8:H56)*$E$57*6/12</f>
        <v>13.831013024072616</v>
      </c>
      <c r="I57" s="7"/>
      <c r="J57" s="92"/>
      <c r="K57" s="88">
        <f>SUM(K8:L56)*$E$57*6/12</f>
        <v>323.6890896645566</v>
      </c>
      <c r="L57" s="7"/>
      <c r="M57" s="93"/>
      <c r="N57" s="88">
        <f>SUM(N8:O56)*$E$57*6/12</f>
        <v>210.7376759386988</v>
      </c>
      <c r="O57" s="7"/>
      <c r="P57" s="92"/>
      <c r="Q57" s="88">
        <f>SUM(Q8:R56)*$E$57*6/12</f>
        <v>454.78492046146295</v>
      </c>
    </row>
    <row r="58" spans="1:18" ht="16.5" customHeight="1" x14ac:dyDescent="0.35">
      <c r="C58" s="89" t="s">
        <v>20</v>
      </c>
      <c r="D58" s="55"/>
      <c r="E58" s="7"/>
      <c r="F58" s="7"/>
      <c r="G58" s="97"/>
      <c r="H58" s="90">
        <f>SUM(H8:H57)</f>
        <v>370.76038138723692</v>
      </c>
      <c r="I58" s="90"/>
      <c r="J58" s="90"/>
      <c r="K58" s="90">
        <f>SUM(K8:K57)</f>
        <v>8676.9559197176295</v>
      </c>
      <c r="L58" s="90"/>
      <c r="M58" s="90"/>
      <c r="N58" s="90">
        <f>SUM(N8:N57)</f>
        <v>5649.1293130664098</v>
      </c>
      <c r="O58" s="90"/>
      <c r="P58" s="92"/>
      <c r="Q58" s="90">
        <f>SUM(Q8:Q57)</f>
        <v>12191.169964628249</v>
      </c>
    </row>
    <row r="59" spans="1:18" ht="35.1" customHeight="1" x14ac:dyDescent="0.35">
      <c r="B59" s="82" t="s">
        <v>21</v>
      </c>
      <c r="C59" s="82"/>
      <c r="D59" s="83" t="s">
        <v>3</v>
      </c>
      <c r="E59" s="84" t="s">
        <v>4</v>
      </c>
      <c r="F59" s="85"/>
      <c r="G59" s="84" t="s">
        <v>5</v>
      </c>
      <c r="H59" s="84" t="s">
        <v>6</v>
      </c>
      <c r="I59" s="86"/>
      <c r="J59" s="84" t="s">
        <v>5</v>
      </c>
      <c r="K59" s="84" t="s">
        <v>7</v>
      </c>
      <c r="L59" s="86"/>
      <c r="M59" s="84" t="s">
        <v>5</v>
      </c>
      <c r="N59" s="84" t="s">
        <v>6</v>
      </c>
      <c r="O59" s="87"/>
      <c r="P59" s="84" t="s">
        <v>5</v>
      </c>
      <c r="Q59" s="84" t="s">
        <v>6</v>
      </c>
    </row>
    <row r="60" spans="1:18" ht="16.2" x14ac:dyDescent="0.35">
      <c r="B60" s="7" t="s">
        <v>109</v>
      </c>
      <c r="C60" s="7"/>
      <c r="D60" s="55" t="s">
        <v>10</v>
      </c>
      <c r="E60" s="15">
        <v>185</v>
      </c>
      <c r="F60" s="7"/>
      <c r="G60" s="12">
        <v>1</v>
      </c>
      <c r="H60" s="90">
        <f>$E$60*G60</f>
        <v>185</v>
      </c>
      <c r="I60" s="7"/>
      <c r="J60" s="12">
        <v>1</v>
      </c>
      <c r="K60" s="90">
        <f>$E$60*J60</f>
        <v>185</v>
      </c>
      <c r="L60" s="7"/>
      <c r="M60" s="12">
        <v>1</v>
      </c>
      <c r="N60" s="90">
        <f>$E$60*M60</f>
        <v>185</v>
      </c>
      <c r="O60" s="7"/>
      <c r="P60" s="12">
        <v>1</v>
      </c>
      <c r="Q60" s="90">
        <f>$E$60*P60</f>
        <v>185</v>
      </c>
    </row>
    <row r="61" spans="1:18" ht="16.5" customHeight="1" x14ac:dyDescent="0.35">
      <c r="B61" s="7" t="s">
        <v>90</v>
      </c>
      <c r="C61" s="7"/>
      <c r="D61" s="55" t="s">
        <v>10</v>
      </c>
      <c r="E61" s="15">
        <v>300</v>
      </c>
      <c r="F61" s="7"/>
      <c r="G61" s="12">
        <v>0</v>
      </c>
      <c r="H61" s="88">
        <f>$E$61*G61</f>
        <v>0</v>
      </c>
      <c r="I61" s="7"/>
      <c r="J61" s="16">
        <v>1</v>
      </c>
      <c r="K61" s="88">
        <f>$E$61*J61</f>
        <v>300</v>
      </c>
      <c r="L61" s="7"/>
      <c r="M61" s="12">
        <v>1</v>
      </c>
      <c r="N61" s="98">
        <f>$E$61*M61</f>
        <v>300</v>
      </c>
      <c r="O61" s="7"/>
      <c r="P61" s="12">
        <v>1</v>
      </c>
      <c r="Q61" s="88">
        <f>$E$61*P61</f>
        <v>300</v>
      </c>
    </row>
    <row r="62" spans="1:18" ht="16.2" x14ac:dyDescent="0.35">
      <c r="C62" s="89" t="s">
        <v>22</v>
      </c>
      <c r="D62"/>
      <c r="E62" s="7"/>
      <c r="F62" s="7"/>
      <c r="G62" s="7"/>
      <c r="H62" s="90">
        <f>SUM(H60:H61)</f>
        <v>185</v>
      </c>
      <c r="I62" s="7"/>
      <c r="J62" s="7"/>
      <c r="K62" s="90">
        <f>SUM(K60:K61)</f>
        <v>485</v>
      </c>
      <c r="L62" s="7"/>
      <c r="M62" s="7"/>
      <c r="N62" s="90">
        <f>SUM(N60:N61)</f>
        <v>485</v>
      </c>
      <c r="O62" s="7"/>
      <c r="P62" s="7"/>
      <c r="Q62" s="90">
        <f>SUM(Q60:Q61)</f>
        <v>485</v>
      </c>
    </row>
    <row r="63" spans="1:18" ht="16.2" x14ac:dyDescent="0.35">
      <c r="B63" s="101"/>
      <c r="C63" s="99" t="s">
        <v>14</v>
      </c>
      <c r="D63" s="18"/>
      <c r="E63" s="100"/>
      <c r="F63" s="100"/>
      <c r="G63" s="100"/>
      <c r="H63" s="88">
        <f>H58+H62</f>
        <v>555.76038138723698</v>
      </c>
      <c r="I63" s="88"/>
      <c r="J63" s="88"/>
      <c r="K63" s="88">
        <f>K58+K62</f>
        <v>9161.9559197176295</v>
      </c>
      <c r="L63" s="88"/>
      <c r="M63" s="88"/>
      <c r="N63" s="88">
        <f>N58+N62</f>
        <v>6134.1293130664098</v>
      </c>
      <c r="O63" s="88"/>
      <c r="P63" s="88"/>
      <c r="Q63" s="88">
        <f>Q58+Q62</f>
        <v>12676.169964628249</v>
      </c>
      <c r="R63" s="101"/>
    </row>
    <row r="64" spans="1:18" ht="16.5" customHeight="1" x14ac:dyDescent="0.35">
      <c r="B64" s="139" t="s">
        <v>23</v>
      </c>
      <c r="C64" s="139"/>
      <c r="E64" s="7"/>
      <c r="F64" s="7"/>
      <c r="G64" s="7"/>
      <c r="H64" s="90">
        <f>H6-H58</f>
        <v>-370.76038138723692</v>
      </c>
      <c r="I64" s="90"/>
      <c r="J64" s="90"/>
      <c r="K64" s="90">
        <f>K6-K58</f>
        <v>-8676.9559197176295</v>
      </c>
      <c r="L64" s="90"/>
      <c r="M64" s="90"/>
      <c r="N64" s="90">
        <f>N6-N58</f>
        <v>-664.98322306640966</v>
      </c>
      <c r="O64" s="90"/>
      <c r="P64" s="90"/>
      <c r="Q64" s="90">
        <f>Q6-Q58</f>
        <v>3786.5783581717496</v>
      </c>
    </row>
    <row r="65" spans="2:19" ht="16.5" customHeight="1" thickBot="1" x14ac:dyDescent="0.4">
      <c r="B65" s="140" t="s">
        <v>15</v>
      </c>
      <c r="C65" s="140"/>
      <c r="D65" s="140"/>
      <c r="E65" s="103"/>
      <c r="F65" s="103"/>
      <c r="G65" s="103"/>
      <c r="H65" s="104">
        <f>H6-H63</f>
        <v>-555.76038138723698</v>
      </c>
      <c r="I65" s="104"/>
      <c r="J65" s="104"/>
      <c r="K65" s="104">
        <f>K6-K63</f>
        <v>-9161.9559197176295</v>
      </c>
      <c r="L65" s="104"/>
      <c r="M65" s="104"/>
      <c r="N65" s="104">
        <f>N6-N63</f>
        <v>-1149.9832230664097</v>
      </c>
      <c r="O65" s="104"/>
      <c r="P65" s="104"/>
      <c r="Q65" s="104">
        <f>Q6-Q63</f>
        <v>3301.5783581717496</v>
      </c>
      <c r="R65" s="102"/>
    </row>
    <row r="66" spans="2:19" ht="16.5" customHeight="1" thickTop="1" x14ac:dyDescent="0.35">
      <c r="B66" s="55" t="s">
        <v>42</v>
      </c>
      <c r="C66" s="55"/>
      <c r="D66" s="55"/>
      <c r="E66" s="55"/>
      <c r="F66" s="55"/>
      <c r="G66" s="55"/>
      <c r="H66" s="55"/>
      <c r="I66" s="55"/>
      <c r="J66" s="55"/>
      <c r="K66" s="55"/>
      <c r="L66" s="55"/>
      <c r="M66" s="55"/>
      <c r="N66" s="55"/>
      <c r="O66" s="55"/>
      <c r="P66" s="55"/>
      <c r="Q66" s="55"/>
      <c r="R66" s="55"/>
      <c r="S66" s="55"/>
    </row>
    <row r="67" spans="2:19" ht="15.6" hidden="1" customHeight="1" x14ac:dyDescent="0.35">
      <c r="B67"/>
      <c r="C67"/>
      <c r="D67"/>
      <c r="E67"/>
      <c r="F67"/>
      <c r="G67"/>
      <c r="H67"/>
      <c r="I67"/>
      <c r="J67"/>
      <c r="K67"/>
      <c r="L67"/>
      <c r="M67"/>
      <c r="N67"/>
      <c r="O67"/>
      <c r="P67"/>
      <c r="Q67"/>
    </row>
    <row r="68" spans="2:19" ht="16.5" hidden="1" customHeight="1" x14ac:dyDescent="0.35">
      <c r="B68" s="105"/>
      <c r="C68" s="105"/>
      <c r="D68"/>
      <c r="E68"/>
      <c r="F68"/>
      <c r="G68"/>
      <c r="H68"/>
      <c r="I68"/>
      <c r="J68"/>
      <c r="K68"/>
      <c r="L68"/>
      <c r="M68"/>
      <c r="N68"/>
      <c r="O68"/>
      <c r="P68"/>
      <c r="Q68"/>
    </row>
    <row r="69" spans="2:19" ht="16.5" hidden="1" customHeight="1" x14ac:dyDescent="0.35">
      <c r="B69"/>
      <c r="C69"/>
      <c r="D69"/>
      <c r="E69"/>
      <c r="F69" s="138"/>
      <c r="G69" s="138"/>
      <c r="H69"/>
      <c r="I69"/>
      <c r="J69"/>
      <c r="K69"/>
      <c r="L69"/>
      <c r="M69"/>
      <c r="N69"/>
      <c r="O69"/>
      <c r="P69"/>
      <c r="Q69"/>
      <c r="R69"/>
    </row>
    <row r="70" spans="2:19" ht="16.5" hidden="1" customHeight="1" x14ac:dyDescent="0.35">
      <c r="B70"/>
      <c r="C70"/>
      <c r="D70"/>
      <c r="E70"/>
      <c r="F70" s="138"/>
      <c r="G70" s="138"/>
      <c r="H70"/>
      <c r="I70"/>
      <c r="J70" s="106"/>
      <c r="K70" s="107"/>
      <c r="L70" s="107"/>
      <c r="M70" s="107"/>
      <c r="N70" s="107"/>
      <c r="O70" s="107"/>
      <c r="P70"/>
      <c r="Q70"/>
    </row>
    <row r="71" spans="2:19" ht="16.5" hidden="1" customHeight="1" x14ac:dyDescent="0.35">
      <c r="B71"/>
      <c r="C71"/>
      <c r="D71"/>
      <c r="E71" s="138"/>
      <c r="F71" s="138"/>
      <c r="G71" s="138"/>
      <c r="H71"/>
      <c r="I71"/>
      <c r="J71" s="106"/>
      <c r="K71" s="107"/>
      <c r="L71" s="107"/>
      <c r="M71" s="107"/>
      <c r="N71" s="107"/>
      <c r="O71" s="107"/>
      <c r="P71"/>
      <c r="Q71"/>
    </row>
    <row r="72" spans="2:19" ht="16.5" hidden="1" customHeight="1" x14ac:dyDescent="0.35">
      <c r="B72"/>
      <c r="C72"/>
      <c r="E72" s="108"/>
      <c r="F72" s="108"/>
      <c r="G72" s="108"/>
      <c r="H72"/>
      <c r="I72"/>
      <c r="J72" s="106"/>
      <c r="K72" s="107"/>
      <c r="L72" s="107"/>
      <c r="M72" s="107"/>
      <c r="N72" s="107"/>
      <c r="O72" s="107"/>
      <c r="P72"/>
      <c r="Q72"/>
    </row>
    <row r="73" spans="2:19" ht="16.5" hidden="1" customHeight="1" x14ac:dyDescent="0.35">
      <c r="B73"/>
      <c r="C73"/>
      <c r="D73" s="108"/>
      <c r="E73" s="108"/>
      <c r="F73" s="108"/>
      <c r="G73"/>
      <c r="H73"/>
      <c r="I73"/>
      <c r="J73" s="137"/>
      <c r="K73" s="137"/>
      <c r="L73" s="137"/>
      <c r="M73" s="137"/>
      <c r="N73" s="137"/>
      <c r="O73" s="137"/>
      <c r="P73"/>
      <c r="Q73"/>
    </row>
    <row r="74" spans="2:19" ht="16.5" hidden="1" customHeight="1" x14ac:dyDescent="0.35">
      <c r="B74" s="105"/>
      <c r="C74" s="105"/>
      <c r="D74" s="108"/>
      <c r="E74" s="108"/>
      <c r="F74" s="108"/>
      <c r="G74" s="109"/>
      <c r="H74"/>
      <c r="I74"/>
      <c r="J74" s="137"/>
      <c r="K74" s="137"/>
      <c r="L74" s="137"/>
      <c r="M74" s="137"/>
      <c r="N74" s="137"/>
      <c r="O74" s="137"/>
      <c r="P74"/>
      <c r="Q74"/>
    </row>
    <row r="75" spans="2:19" ht="16.5" hidden="1" customHeight="1" x14ac:dyDescent="0.35">
      <c r="B75"/>
      <c r="C75"/>
      <c r="D75" s="108"/>
      <c r="E75" s="108"/>
      <c r="F75" s="108"/>
      <c r="G75" s="110"/>
      <c r="H75"/>
      <c r="I75"/>
      <c r="K75"/>
      <c r="L75"/>
      <c r="M75"/>
      <c r="N75"/>
      <c r="O75"/>
      <c r="P75"/>
      <c r="Q75"/>
    </row>
    <row r="76" spans="2:19" ht="16.5" hidden="1" customHeight="1" x14ac:dyDescent="0.35">
      <c r="B76"/>
      <c r="C76"/>
      <c r="D76"/>
      <c r="E76"/>
      <c r="F76"/>
      <c r="G76" s="110"/>
      <c r="H76"/>
      <c r="I76"/>
      <c r="J76"/>
      <c r="K76"/>
      <c r="L76"/>
      <c r="M76"/>
      <c r="N76"/>
      <c r="O76"/>
      <c r="P76"/>
      <c r="Q76"/>
    </row>
    <row r="77" spans="2:19" ht="16.5" hidden="1" customHeight="1" x14ac:dyDescent="0.35">
      <c r="B77"/>
      <c r="C77"/>
      <c r="D77"/>
      <c r="E77"/>
      <c r="F77"/>
      <c r="G77" s="110"/>
      <c r="H77"/>
      <c r="I77"/>
      <c r="J77"/>
      <c r="K77"/>
      <c r="L77"/>
      <c r="M77"/>
      <c r="N77"/>
      <c r="O77"/>
      <c r="P77"/>
      <c r="Q77"/>
    </row>
  </sheetData>
  <sheetProtection sheet="1" objects="1" scenarios="1"/>
  <mergeCells count="11">
    <mergeCell ref="P3:Q3"/>
    <mergeCell ref="B2:R2"/>
    <mergeCell ref="J73:O74"/>
    <mergeCell ref="F69:G69"/>
    <mergeCell ref="F70:G70"/>
    <mergeCell ref="E71:G71"/>
    <mergeCell ref="G3:H3"/>
    <mergeCell ref="J3:K3"/>
    <mergeCell ref="M3:N3"/>
    <mergeCell ref="B64:C64"/>
    <mergeCell ref="B65:D65"/>
  </mergeCells>
  <pageMargins left="0.7" right="0.7" top="0.75" bottom="0.75" header="0.3" footer="0.3"/>
  <pageSetup scale="81" fitToHeight="0" orientation="landscape"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pageSetUpPr fitToPage="1"/>
  </sheetPr>
  <dimension ref="A1:L49"/>
  <sheetViews>
    <sheetView workbookViewId="0"/>
  </sheetViews>
  <sheetFormatPr defaultColWidth="0" defaultRowHeight="14.4" zeroHeight="1" x14ac:dyDescent="0.3"/>
  <cols>
    <col min="1" max="1" width="3.09765625" style="4" customWidth="1"/>
    <col min="2" max="2" width="8.59765625" customWidth="1"/>
    <col min="3" max="3" width="10.09765625" customWidth="1"/>
    <col min="4" max="4" width="9.296875" customWidth="1"/>
    <col min="5" max="5" width="11.796875" customWidth="1"/>
    <col min="6" max="6" width="9.59765625" bestFit="1" customWidth="1"/>
    <col min="7" max="7" width="8.796875" bestFit="1" customWidth="1"/>
    <col min="8" max="8" width="9.796875" customWidth="1"/>
    <col min="9" max="9" width="11" customWidth="1"/>
    <col min="10" max="10" width="9.796875" bestFit="1" customWidth="1"/>
    <col min="11" max="11" width="10.09765625" customWidth="1"/>
    <col min="12" max="12" width="3.09765625" style="4" customWidth="1"/>
    <col min="13" max="16384" width="8.59765625" hidden="1"/>
  </cols>
  <sheetData>
    <row r="1" spans="1:12" ht="15.6" x14ac:dyDescent="0.3">
      <c r="B1" s="141" t="s">
        <v>112</v>
      </c>
      <c r="C1" s="141"/>
      <c r="D1" s="141"/>
      <c r="E1" s="141"/>
      <c r="F1" s="141"/>
      <c r="G1" s="141"/>
      <c r="H1" s="141"/>
      <c r="I1" s="141"/>
      <c r="J1" s="141"/>
      <c r="K1" s="141"/>
    </row>
    <row r="2" spans="1:12" ht="34.049999999999997" customHeight="1" x14ac:dyDescent="0.3">
      <c r="B2" s="143" t="s">
        <v>118</v>
      </c>
      <c r="C2" s="143"/>
      <c r="D2" s="143"/>
      <c r="E2" s="143"/>
      <c r="F2" s="143"/>
      <c r="G2" s="143"/>
      <c r="H2" s="143"/>
      <c r="I2" s="143"/>
      <c r="J2" s="143"/>
      <c r="K2" s="143"/>
    </row>
    <row r="3" spans="1:12" s="19" customFormat="1" ht="16.5" customHeight="1" x14ac:dyDescent="0.3">
      <c r="A3" s="4"/>
      <c r="B3" s="120"/>
      <c r="C3" s="121"/>
      <c r="D3" s="121"/>
      <c r="E3" s="146" t="s">
        <v>110</v>
      </c>
      <c r="F3" s="147"/>
      <c r="G3" s="147"/>
      <c r="H3" s="147"/>
      <c r="I3" s="147"/>
      <c r="J3" s="147"/>
      <c r="K3" s="148"/>
      <c r="L3" s="4"/>
    </row>
    <row r="4" spans="1:12" ht="16.5" customHeight="1" x14ac:dyDescent="0.3">
      <c r="B4" s="57"/>
      <c r="C4" s="58"/>
      <c r="D4" s="58"/>
      <c r="E4" s="117" t="s">
        <v>34</v>
      </c>
      <c r="F4" s="118" t="s">
        <v>33</v>
      </c>
      <c r="G4" s="118" t="s">
        <v>29</v>
      </c>
      <c r="H4" s="118" t="s">
        <v>27</v>
      </c>
      <c r="I4" s="118" t="s">
        <v>25</v>
      </c>
      <c r="J4" s="118" t="s">
        <v>31</v>
      </c>
      <c r="K4" s="119" t="s">
        <v>32</v>
      </c>
    </row>
    <row r="5" spans="1:12" ht="16.5" customHeight="1" x14ac:dyDescent="0.3">
      <c r="B5" s="59"/>
      <c r="C5" s="60"/>
      <c r="D5" s="116"/>
      <c r="E5" s="61">
        <f>H5*70%</f>
        <v>3703.4515979999996</v>
      </c>
      <c r="F5" s="62">
        <f>H5*80%</f>
        <v>4232.5161120000002</v>
      </c>
      <c r="G5" s="62">
        <f>H5*90%</f>
        <v>4761.5806259999999</v>
      </c>
      <c r="H5" s="20">
        <f>Budget!P5</f>
        <v>5290.6451399999996</v>
      </c>
      <c r="I5" s="62">
        <f>H5*110%</f>
        <v>5819.7096540000002</v>
      </c>
      <c r="J5" s="62">
        <f>H5*120%</f>
        <v>6348.774167999999</v>
      </c>
      <c r="K5" s="63">
        <f>H5*130%</f>
        <v>6877.8386819999996</v>
      </c>
    </row>
    <row r="6" spans="1:12" ht="16.5" customHeight="1" x14ac:dyDescent="0.3">
      <c r="B6" s="144" t="s">
        <v>111</v>
      </c>
      <c r="C6" s="64" t="s">
        <v>30</v>
      </c>
      <c r="D6" s="22">
        <f>D9*85%</f>
        <v>2.5669999999999997</v>
      </c>
      <c r="E6" s="23">
        <f>(D6*$E$5)-Budget!Q63</f>
        <v>-3169.4097125622502</v>
      </c>
      <c r="F6" s="24">
        <f>(D6*$F$5)-Budget!$Q$63</f>
        <v>-1811.3011051242484</v>
      </c>
      <c r="G6" s="25">
        <f>(D6*$G$5)-Budget!$Q$63</f>
        <v>-453.19249768625014</v>
      </c>
      <c r="H6" s="25">
        <f>(D6*$H$5)-Budget!$Q$63</f>
        <v>904.91610975174808</v>
      </c>
      <c r="I6" s="25">
        <f>(D6*$I$5)-Budget!$Q$63</f>
        <v>2263.0247171897499</v>
      </c>
      <c r="J6" s="25">
        <f>(D6*$J$5)-Budget!$Q$63</f>
        <v>3621.1333246277463</v>
      </c>
      <c r="K6" s="26">
        <f>(D6*$K$5)-Budget!$Q$63</f>
        <v>4979.2419320657482</v>
      </c>
    </row>
    <row r="7" spans="1:12" ht="16.5" customHeight="1" x14ac:dyDescent="0.3">
      <c r="B7" s="144"/>
      <c r="C7" s="65" t="s">
        <v>29</v>
      </c>
      <c r="D7" s="27">
        <f>D9*90%</f>
        <v>2.718</v>
      </c>
      <c r="E7" s="28">
        <f>(D7*$E$5)-Budget!$Q$63</f>
        <v>-2610.1885212642501</v>
      </c>
      <c r="F7" s="29">
        <f>(D7*$F$5)-Budget!$Q$63</f>
        <v>-1172.1911722122477</v>
      </c>
      <c r="G7" s="30">
        <f>(D7*$G$5)-Budget!$Q$63</f>
        <v>265.80617683975106</v>
      </c>
      <c r="H7" s="30">
        <f>(D7*$H$5)-Budget!$Q$63</f>
        <v>1703.8035258917498</v>
      </c>
      <c r="I7" s="30">
        <f>(D7*$I$5)-Budget!$Q$63</f>
        <v>3141.8008749437522</v>
      </c>
      <c r="J7" s="30">
        <f>(D7*$J$5)-Budget!$Q$63</f>
        <v>4579.7982239957473</v>
      </c>
      <c r="K7" s="31">
        <f>(D7*$K$5)-Budget!$Q$63</f>
        <v>6017.7955730477497</v>
      </c>
    </row>
    <row r="8" spans="1:12" ht="16.5" customHeight="1" thickBot="1" x14ac:dyDescent="0.35">
      <c r="B8" s="144"/>
      <c r="C8" s="66" t="s">
        <v>28</v>
      </c>
      <c r="D8" s="27">
        <f>D9*0.95</f>
        <v>2.8689999999999998</v>
      </c>
      <c r="E8" s="28">
        <f>(D8*$E$5)-Budget!$Q$63</f>
        <v>-2050.96732996625</v>
      </c>
      <c r="F8" s="29">
        <f>(D8*$F$5)-Budget!$Q$63</f>
        <v>-533.08123930024885</v>
      </c>
      <c r="G8" s="30">
        <f>(D8*$G$5)-Budget!$Q$63</f>
        <v>984.80485136575044</v>
      </c>
      <c r="H8" s="30">
        <f>(D8*$H$5)-Budget!$Q$63</f>
        <v>2502.6909420317497</v>
      </c>
      <c r="I8" s="30">
        <f>(D8*$I$5)-Budget!$Q$63</f>
        <v>4020.577032697749</v>
      </c>
      <c r="J8" s="30">
        <f>(D8*$J$5)-Budget!$Q$63</f>
        <v>5538.4631233637465</v>
      </c>
      <c r="K8" s="31">
        <f>(D8*$K$5)-Budget!$Q$63</f>
        <v>7056.3492140297476</v>
      </c>
    </row>
    <row r="9" spans="1:12" ht="16.5" customHeight="1" thickBot="1" x14ac:dyDescent="0.35">
      <c r="B9" s="144"/>
      <c r="C9" s="65" t="s">
        <v>27</v>
      </c>
      <c r="D9" s="21">
        <f>Budget!E5</f>
        <v>3.02</v>
      </c>
      <c r="E9" s="28">
        <f>(D9*$E$5)-Budget!$Q$63</f>
        <v>-1491.7461386682498</v>
      </c>
      <c r="F9" s="29">
        <f>(D9*$F$5)-Budget!$Q$63</f>
        <v>106.02869361175181</v>
      </c>
      <c r="G9" s="30">
        <f>(D9*$G$5)-Budget!$Q$63</f>
        <v>1703.8035258917516</v>
      </c>
      <c r="H9" s="32">
        <f>(D9*$H$5)-Budget!$Q$63</f>
        <v>3301.5783581717496</v>
      </c>
      <c r="I9" s="30">
        <f>(D9*$I$5)-Budget!$Q$63</f>
        <v>4899.3531904517531</v>
      </c>
      <c r="J9" s="30">
        <f>(D9*$J$5)-Budget!$Q$63</f>
        <v>6497.1280227317493</v>
      </c>
      <c r="K9" s="31">
        <f>(D9*$K$5)-Budget!$Q$63</f>
        <v>8094.9028550117491</v>
      </c>
    </row>
    <row r="10" spans="1:12" ht="16.5" customHeight="1" x14ac:dyDescent="0.3">
      <c r="B10" s="144"/>
      <c r="C10" s="65" t="s">
        <v>26</v>
      </c>
      <c r="D10" s="27">
        <f>D9*105%</f>
        <v>3.1710000000000003</v>
      </c>
      <c r="E10" s="28">
        <f>(D10*$E$5)-Budget!$Q$63</f>
        <v>-932.5249473702479</v>
      </c>
      <c r="F10" s="29">
        <f>(D10*$F$5)-Budget!$Q$63</f>
        <v>745.13862652375246</v>
      </c>
      <c r="G10" s="30">
        <f>(D10*$G$5)-Budget!$Q$63</f>
        <v>2422.8022004177528</v>
      </c>
      <c r="H10" s="30">
        <f>(D10*$H$5)-Budget!$Q$63</f>
        <v>4100.4657743117514</v>
      </c>
      <c r="I10" s="30">
        <f>(D10*$I$5)-Budget!$Q$63</f>
        <v>5778.1293482057536</v>
      </c>
      <c r="J10" s="30">
        <f>(D10*$J$5)-Budget!$Q$63</f>
        <v>7455.7929220997485</v>
      </c>
      <c r="K10" s="31">
        <f>(D10*$K$5)-Budget!$Q$63</f>
        <v>9133.4564959937507</v>
      </c>
    </row>
    <row r="11" spans="1:12" ht="16.5" customHeight="1" x14ac:dyDescent="0.3">
      <c r="B11" s="144"/>
      <c r="C11" s="65" t="s">
        <v>25</v>
      </c>
      <c r="D11" s="27">
        <f>D9*110%</f>
        <v>3.3220000000000005</v>
      </c>
      <c r="E11" s="28">
        <f>(D11*$E$5)-Budget!$Q$63</f>
        <v>-373.30375607224778</v>
      </c>
      <c r="F11" s="29">
        <f>(D11*$F$5)-Budget!$Q$63</f>
        <v>1384.2485594357549</v>
      </c>
      <c r="G11" s="30">
        <f>(D11*$G$5)-Budget!$Q$63</f>
        <v>3141.800874943754</v>
      </c>
      <c r="H11" s="30">
        <f>(D11*$H$5)-Budget!$Q$63</f>
        <v>4899.3531904517531</v>
      </c>
      <c r="I11" s="30">
        <f>(D11*$I$5)-Budget!$Q$63</f>
        <v>6656.905505959754</v>
      </c>
      <c r="J11" s="30">
        <f>(D11*$J$5)-Budget!$Q$63</f>
        <v>8414.4578214677513</v>
      </c>
      <c r="K11" s="31">
        <f>(D11*$K$5)-Budget!$Q$63</f>
        <v>10172.010136975752</v>
      </c>
    </row>
    <row r="12" spans="1:12" s="18" customFormat="1" ht="16.5" customHeight="1" x14ac:dyDescent="0.3">
      <c r="A12" s="4"/>
      <c r="B12" s="145"/>
      <c r="C12" s="67" t="s">
        <v>24</v>
      </c>
      <c r="D12" s="33">
        <f>D9*115%</f>
        <v>3.4729999999999999</v>
      </c>
      <c r="E12" s="34">
        <f>(D12*$E$5)-Budget!$Q$63</f>
        <v>185.91743522575052</v>
      </c>
      <c r="F12" s="35">
        <f>(D12*$F$5)-Budget!$Q$63</f>
        <v>2023.358492347752</v>
      </c>
      <c r="G12" s="36">
        <f>(D12*$G$5)-Budget!$Q$63</f>
        <v>3860.7995494697516</v>
      </c>
      <c r="H12" s="36">
        <f>(D12*$H$5)-Budget!$Q$63</f>
        <v>5698.2406065917476</v>
      </c>
      <c r="I12" s="36">
        <f>(D12*$I$5)-Budget!$Q$63</f>
        <v>7535.6816637137508</v>
      </c>
      <c r="J12" s="36">
        <f>(D12*$J$5)-Budget!$Q$63</f>
        <v>9373.1227208357468</v>
      </c>
      <c r="K12" s="37">
        <f>(D12*$K$5)-Budget!$Q$63</f>
        <v>11210.56377795775</v>
      </c>
      <c r="L12" s="4"/>
    </row>
    <row r="13" spans="1:12" s="4" customFormat="1" ht="8.1" customHeight="1" x14ac:dyDescent="0.3">
      <c r="B13" s="6"/>
      <c r="C13" s="6"/>
      <c r="D13" s="6"/>
      <c r="E13" s="6"/>
      <c r="F13" s="6"/>
      <c r="G13" s="6"/>
      <c r="H13" s="6"/>
      <c r="I13" s="6"/>
      <c r="J13" s="6"/>
      <c r="K13" s="6"/>
    </row>
    <row r="14" spans="1:12" s="4" customFormat="1" ht="15.6" x14ac:dyDescent="0.3">
      <c r="B14" s="141" t="s">
        <v>124</v>
      </c>
      <c r="C14" s="141"/>
      <c r="D14" s="141"/>
      <c r="E14" s="141"/>
      <c r="F14" s="141"/>
      <c r="G14" s="141"/>
      <c r="H14" s="141"/>
      <c r="I14" s="141"/>
      <c r="J14" s="141"/>
      <c r="K14" s="141"/>
    </row>
    <row r="15" spans="1:12" s="4" customFormat="1" ht="35.1" customHeight="1" x14ac:dyDescent="0.3">
      <c r="B15" s="143" t="s">
        <v>40</v>
      </c>
      <c r="C15" s="143"/>
      <c r="D15" s="143"/>
      <c r="E15" s="143"/>
      <c r="F15" s="143"/>
      <c r="G15" s="143"/>
      <c r="H15" s="143"/>
      <c r="I15" s="143"/>
      <c r="J15" s="143"/>
      <c r="K15" s="143"/>
    </row>
    <row r="16" spans="1:12" ht="16.5" customHeight="1" x14ac:dyDescent="0.3">
      <c r="B16" s="56"/>
      <c r="C16" s="56"/>
      <c r="D16" s="68"/>
      <c r="E16" s="146" t="s">
        <v>2</v>
      </c>
      <c r="F16" s="147"/>
      <c r="G16" s="147"/>
      <c r="H16" s="147"/>
      <c r="I16" s="147"/>
      <c r="J16" s="147"/>
      <c r="K16" s="148"/>
    </row>
    <row r="17" spans="2:11" ht="16.5" customHeight="1" x14ac:dyDescent="0.3">
      <c r="B17" s="59"/>
      <c r="C17" s="59"/>
      <c r="D17" s="69"/>
      <c r="E17" s="115" t="s">
        <v>30</v>
      </c>
      <c r="F17" s="70" t="s">
        <v>29</v>
      </c>
      <c r="G17" s="70" t="s">
        <v>28</v>
      </c>
      <c r="H17" s="70" t="s">
        <v>27</v>
      </c>
      <c r="I17" s="70" t="s">
        <v>26</v>
      </c>
      <c r="J17" s="70" t="s">
        <v>25</v>
      </c>
      <c r="K17" s="71" t="s">
        <v>24</v>
      </c>
    </row>
    <row r="18" spans="2:11" ht="16.5" customHeight="1" x14ac:dyDescent="0.3">
      <c r="B18" s="149" t="s">
        <v>19</v>
      </c>
      <c r="C18" s="72"/>
      <c r="D18" s="73" t="s">
        <v>30</v>
      </c>
      <c r="E18" s="38">
        <f>(Budget!Q6*0.85)-(Budget!Q58*0.85)-Budget!Q62</f>
        <v>2733.5916044459882</v>
      </c>
      <c r="F18" s="25">
        <f>(Budget!Q6*0.9)-(Budget!Q58*0.85)-Budget!Q62</f>
        <v>3532.4790205859881</v>
      </c>
      <c r="G18" s="25">
        <f>(Budget!Q6*0.95)-(Budget!Q58*0.85)-Budget!Q62</f>
        <v>4331.366436725988</v>
      </c>
      <c r="H18" s="39">
        <f>Budget!Q6-(Budget!Q58*0.85)-Budget!Q62</f>
        <v>5130.2538528659879</v>
      </c>
      <c r="I18" s="39">
        <f>(Budget!Q6*1.05)-(Budget!Q58*0.85)-Budget!Q62</f>
        <v>5929.1412690059897</v>
      </c>
      <c r="J18" s="39">
        <f>(Budget!Q6*1.1)-(Budget!Q58*0.85)-Budget!Q62</f>
        <v>6728.0286851459878</v>
      </c>
      <c r="K18" s="40">
        <f>(Budget!Q6*1.15)-(Budget!Q58*0.85)-Budget!Q62</f>
        <v>7526.9161012859859</v>
      </c>
    </row>
    <row r="19" spans="2:11" ht="16.5" customHeight="1" x14ac:dyDescent="0.3">
      <c r="B19" s="149"/>
      <c r="C19" s="72"/>
      <c r="D19" s="73" t="s">
        <v>29</v>
      </c>
      <c r="E19" s="41">
        <f>(Budget!Q6*0.85)-(Budget!Q58*0.9)-Budget!Q62</f>
        <v>2124.0331062145742</v>
      </c>
      <c r="F19" s="30">
        <f>(Budget!Q6*0.9)-(Budget!Q58*0.9)-Budget!Q62</f>
        <v>2922.9205223545741</v>
      </c>
      <c r="G19" s="30">
        <f>(Budget!Q6*0.95)-(Budget!Q58*0.9)-Budget!Q62</f>
        <v>3721.807938494574</v>
      </c>
      <c r="H19" s="42">
        <f>Budget!Q6-(Budget!Q58*0.9)-Budget!Q62</f>
        <v>4520.695354634574</v>
      </c>
      <c r="I19" s="42">
        <f>(Budget!Q6*1.05)-(Budget!Q58*0.9)-Budget!Q62</f>
        <v>5319.5827707745757</v>
      </c>
      <c r="J19" s="42">
        <f>(Budget!Q6*1.1)-(Budget!Q58*0.9)-Budget!Q62</f>
        <v>6118.4701869145738</v>
      </c>
      <c r="K19" s="43">
        <f>(Budget!Q6*1.15)-(Budget!Q58*0.9)-Budget!Q62</f>
        <v>6917.3576030545719</v>
      </c>
    </row>
    <row r="20" spans="2:11" ht="16.5" customHeight="1" thickBot="1" x14ac:dyDescent="0.35">
      <c r="B20" s="149"/>
      <c r="C20" s="72"/>
      <c r="D20" s="73" t="s">
        <v>28</v>
      </c>
      <c r="E20" s="41">
        <f>(Budget!Q6*0.85)-(Budget!Q58*0.95)-Budget!Q62</f>
        <v>1514.4746079831621</v>
      </c>
      <c r="F20" s="30">
        <f>(Budget!Q6*0.9)-(Budget!Q58*0.95)-Budget!Q62</f>
        <v>2313.362024123162</v>
      </c>
      <c r="G20" s="30">
        <f>(Budget!Q6*0.95)-(Budget!Q58*0.95)-Budget!Q62</f>
        <v>3112.2494402631619</v>
      </c>
      <c r="H20" s="42">
        <f>Budget!Q6-(Budget!Q58*0.95)-Budget!Q62</f>
        <v>3911.1368564031618</v>
      </c>
      <c r="I20" s="42">
        <f>(Budget!Q6*1.05)-(Budget!Q58*0.95)-Budget!Q62</f>
        <v>4710.0242725431635</v>
      </c>
      <c r="J20" s="42">
        <f>(Budget!Q6*1.1)-(Budget!Q58*0.95)-Budget!Q62</f>
        <v>5508.9116886831616</v>
      </c>
      <c r="K20" s="43">
        <f>(Budget!Q6*1.15)-(Budget!Q58*0.95)-Budget!Q62</f>
        <v>6307.7991048231597</v>
      </c>
    </row>
    <row r="21" spans="2:11" ht="16.5" customHeight="1" thickBot="1" x14ac:dyDescent="0.35">
      <c r="B21" s="149"/>
      <c r="C21" s="72"/>
      <c r="D21" s="73" t="s">
        <v>27</v>
      </c>
      <c r="E21" s="41">
        <f>(Budget!Q6*0.85)-Budget!Q58-Budget!Q62</f>
        <v>904.9161097517499</v>
      </c>
      <c r="F21" s="30">
        <f>(Budget!Q6*0.9)-(Budget!Q58)-Budget!Q62</f>
        <v>1703.8035258917498</v>
      </c>
      <c r="G21" s="30">
        <f>(Budget!Q6*0.95)-(Budget!Q58)-Budget!Q62</f>
        <v>2502.6909420317497</v>
      </c>
      <c r="H21" s="44">
        <f>Budget!Q6-(Budget!Q58)-Budget!Q62</f>
        <v>3301.5783581717496</v>
      </c>
      <c r="I21" s="42">
        <f>(Budget!Q6*1.05)-(Budget!Q58)-Budget!Q62</f>
        <v>4100.4657743117514</v>
      </c>
      <c r="J21" s="42">
        <f>(Budget!Q6*1.1)-(Budget!Q58)-Budget!Q62</f>
        <v>4899.3531904517495</v>
      </c>
      <c r="K21" s="43">
        <f>(Budget!Q6*1.15)-(Budget!Q58)-Budget!Q62</f>
        <v>5698.2406065917476</v>
      </c>
    </row>
    <row r="22" spans="2:11" ht="16.5" customHeight="1" x14ac:dyDescent="0.3">
      <c r="B22" s="149"/>
      <c r="C22" s="72"/>
      <c r="D22" s="73" t="s">
        <v>26</v>
      </c>
      <c r="E22" s="41">
        <f>(Budget!Q6*0.85)-(Budget!Q58*1.05)-Budget!Q62</f>
        <v>295.35761152033774</v>
      </c>
      <c r="F22" s="30">
        <f>(Budget!Q6*0.9)-(Budget!Q58*1.05)-Budget!Q62</f>
        <v>1094.2450276603377</v>
      </c>
      <c r="G22" s="30">
        <f>(Budget!Q6*0.95)-(Budget!Q58*1.05)-Budget!Q62</f>
        <v>1893.1324438003376</v>
      </c>
      <c r="H22" s="42">
        <f>Budget!Q6-(Budget!Q58*1.05)-Budget!Q62</f>
        <v>2692.0198599403375</v>
      </c>
      <c r="I22" s="42">
        <f>(Budget!Q6*1.05)-(Budget!Q58*1.05)-Budget!Q62</f>
        <v>3490.9072760803392</v>
      </c>
      <c r="J22" s="42">
        <f>(Budget!Q6*1.1)-(Budget!Q58*1.05)-Budget!Q62</f>
        <v>4289.7946922203373</v>
      </c>
      <c r="K22" s="43">
        <f>(Budget!Q6*1.15)-(Budget!Q58*1.05)-Budget!Q62</f>
        <v>5088.6821083603354</v>
      </c>
    </row>
    <row r="23" spans="2:11" ht="16.5" customHeight="1" x14ac:dyDescent="0.3">
      <c r="B23" s="149"/>
      <c r="C23" s="72"/>
      <c r="D23" s="73" t="s">
        <v>25</v>
      </c>
      <c r="E23" s="41">
        <f>(Budget!Q6*0.85)-(Budget!Q58*1.1)-Budget!Q62</f>
        <v>-314.20088671107624</v>
      </c>
      <c r="F23" s="30">
        <f>(Budget!Q6*0.9)-(Budget!Q58*1.1)-Budget!Q62</f>
        <v>484.68652942892368</v>
      </c>
      <c r="G23" s="30">
        <f>(Budget!Q6*0.95)-(Budget!Q58*1.1)-Budget!Q62</f>
        <v>1283.5739455689236</v>
      </c>
      <c r="H23" s="42">
        <f>Budget!Q6-(Budget!Q58*1.1)-Budget!Q62</f>
        <v>2082.4613617089235</v>
      </c>
      <c r="I23" s="42">
        <f>(Budget!Q6*1.05)-(Budget!Q58*1.1)-Budget!Q62</f>
        <v>2881.3487778489252</v>
      </c>
      <c r="J23" s="42">
        <f>(Budget!Q6*1.1)-(Budget!Q58*1.1)-Budget!Q62</f>
        <v>3680.2361939889233</v>
      </c>
      <c r="K23" s="43">
        <f>(Budget!Q6*1.15)-(Budget!Q58*1.1)-Budget!Q62</f>
        <v>4479.1236101289214</v>
      </c>
    </row>
    <row r="24" spans="2:11" ht="16.5" customHeight="1" x14ac:dyDescent="0.3">
      <c r="B24" s="150"/>
      <c r="C24" s="74"/>
      <c r="D24" s="75" t="s">
        <v>24</v>
      </c>
      <c r="E24" s="45">
        <f>(Budget!Q6*0.85)-(Budget!Q58*1.15)-Budget!Q62</f>
        <v>-923.75938494248658</v>
      </c>
      <c r="F24" s="36">
        <f>(Budget!Q6*0.9)-(Budget!Q58*1.15)-Budget!Q62</f>
        <v>-124.87196880248666</v>
      </c>
      <c r="G24" s="36">
        <f>(Budget!Q6*0.95)-(Budget!Q58*1.15)-Budget!Q62</f>
        <v>674.01544733751325</v>
      </c>
      <c r="H24" s="46">
        <f>Budget!Q6-(Budget!Q58*1.15)-Budget!Q62</f>
        <v>1472.9028634775132</v>
      </c>
      <c r="I24" s="46">
        <f>(Budget!Q6*1.05)-(Budget!Q58*1.15)-Budget!Q62</f>
        <v>2271.7902796175149</v>
      </c>
      <c r="J24" s="46">
        <f>(Budget!Q6*1.1)-(Budget!Q58*1.15)-Budget!Q62</f>
        <v>3070.677695757513</v>
      </c>
      <c r="K24" s="47">
        <f>(Budget!Q6*1.15)-(Budget!Q58*1.15)-Budget!Q62</f>
        <v>3869.5651118975111</v>
      </c>
    </row>
    <row r="25" spans="2:11" ht="8.1" customHeight="1" x14ac:dyDescent="0.3">
      <c r="B25" s="6"/>
      <c r="C25" s="6"/>
      <c r="D25" s="6"/>
      <c r="E25" s="6"/>
      <c r="F25" s="6"/>
      <c r="G25" s="6"/>
      <c r="H25" s="6"/>
      <c r="I25" s="6"/>
      <c r="J25" s="6"/>
      <c r="K25" s="6"/>
    </row>
    <row r="26" spans="2:11" ht="15.6" x14ac:dyDescent="0.3">
      <c r="B26" s="141" t="s">
        <v>116</v>
      </c>
      <c r="C26" s="141"/>
      <c r="D26" s="141"/>
      <c r="E26" s="141"/>
      <c r="F26" s="141"/>
      <c r="G26" s="141"/>
      <c r="H26" s="141"/>
      <c r="I26" s="141"/>
      <c r="J26" s="141"/>
      <c r="K26" s="141"/>
    </row>
    <row r="27" spans="2:11" ht="15.6" x14ac:dyDescent="0.3">
      <c r="B27" s="143" t="s">
        <v>38</v>
      </c>
      <c r="C27" s="143"/>
      <c r="D27" s="143"/>
      <c r="E27" s="143"/>
      <c r="F27" s="143"/>
      <c r="G27" s="143"/>
      <c r="H27" s="143"/>
      <c r="I27" s="143"/>
      <c r="J27" s="143"/>
      <c r="K27" s="143"/>
    </row>
    <row r="28" spans="2:11" ht="65.55" customHeight="1" x14ac:dyDescent="0.3">
      <c r="B28" s="143" t="s">
        <v>117</v>
      </c>
      <c r="C28" s="143"/>
      <c r="D28" s="143"/>
      <c r="E28" s="143"/>
      <c r="F28" s="143"/>
      <c r="G28" s="143"/>
      <c r="H28" s="143"/>
      <c r="I28" s="143"/>
      <c r="J28" s="143"/>
      <c r="K28" s="143"/>
    </row>
    <row r="29" spans="2:11" ht="33.6" customHeight="1" x14ac:dyDescent="0.3">
      <c r="B29" s="143" t="s">
        <v>113</v>
      </c>
      <c r="C29" s="143"/>
      <c r="D29" s="143"/>
      <c r="E29" s="143"/>
      <c r="F29" s="143"/>
      <c r="G29" s="143"/>
      <c r="H29" s="143"/>
      <c r="I29" s="143"/>
      <c r="J29" s="143"/>
      <c r="K29" s="143"/>
    </row>
    <row r="30" spans="2:11" x14ac:dyDescent="0.3">
      <c r="B30" s="143"/>
      <c r="C30" s="143"/>
      <c r="D30" s="143"/>
      <c r="E30" s="143"/>
      <c r="F30" s="143"/>
      <c r="G30" s="143"/>
      <c r="H30" s="143"/>
      <c r="I30" s="143"/>
      <c r="J30" s="143"/>
      <c r="K30" s="143"/>
    </row>
    <row r="31" spans="2:11" x14ac:dyDescent="0.3">
      <c r="B31" s="143"/>
      <c r="C31" s="143"/>
      <c r="D31" s="143"/>
      <c r="E31" s="143"/>
      <c r="F31" s="143"/>
      <c r="G31" s="143"/>
      <c r="H31" s="143"/>
      <c r="I31" s="143"/>
      <c r="J31" s="143"/>
      <c r="K31" s="143"/>
    </row>
    <row r="32" spans="2:11" ht="32.549999999999997" customHeight="1" x14ac:dyDescent="0.3">
      <c r="B32" s="143" t="s">
        <v>115</v>
      </c>
      <c r="C32" s="143"/>
      <c r="D32" s="143"/>
      <c r="E32" s="143"/>
      <c r="F32" s="143"/>
      <c r="G32" s="143"/>
      <c r="H32" s="143"/>
      <c r="I32" s="143"/>
      <c r="J32" s="143"/>
      <c r="K32" s="143"/>
    </row>
    <row r="33" spans="2:11" ht="10.050000000000001" customHeight="1" x14ac:dyDescent="0.3">
      <c r="B33" s="76"/>
      <c r="C33" s="76"/>
      <c r="D33" s="76"/>
      <c r="E33" s="76"/>
      <c r="F33" s="76"/>
      <c r="G33" s="76"/>
      <c r="H33" s="76"/>
      <c r="I33" s="76"/>
      <c r="J33" s="76"/>
      <c r="K33" s="76"/>
    </row>
    <row r="34" spans="2:11" ht="15.6" x14ac:dyDescent="0.3">
      <c r="B34" s="77" t="s">
        <v>16</v>
      </c>
      <c r="C34" s="6"/>
      <c r="D34" s="6"/>
      <c r="E34" s="6"/>
      <c r="F34" s="4"/>
      <c r="G34" s="4"/>
      <c r="H34" s="4"/>
      <c r="I34" s="4"/>
      <c r="J34" s="4"/>
      <c r="K34" s="4"/>
    </row>
    <row r="35" spans="2:11" ht="15.6" x14ac:dyDescent="0.3">
      <c r="B35" s="6" t="s">
        <v>35</v>
      </c>
      <c r="C35" s="48"/>
      <c r="D35" s="48"/>
      <c r="E35" s="13">
        <v>0.06</v>
      </c>
      <c r="F35" s="6"/>
      <c r="G35" s="77"/>
      <c r="H35" s="49"/>
      <c r="I35" s="49"/>
      <c r="J35" s="49"/>
      <c r="K35" s="51"/>
    </row>
    <row r="36" spans="2:11" ht="15.6" x14ac:dyDescent="0.3">
      <c r="B36" s="6" t="s">
        <v>114</v>
      </c>
      <c r="C36" s="6"/>
      <c r="D36" s="6"/>
      <c r="E36" s="78">
        <f>(Budget!H65+Budget!K65/(1+E35)+Budget!N65/((1+E35)^2)+Budget!Q65/((1+E35)^3)+Budget!Q65/(1+E35)^4+Budget!Q65/(1+E35)^5+Budget!Q65/(1+E35)^6+Budget!Q65/(1+E35)^7)</f>
        <v>2154.9842013851762</v>
      </c>
      <c r="F36" s="6"/>
      <c r="G36" s="76"/>
      <c r="H36" s="49"/>
      <c r="I36" s="49"/>
      <c r="J36" s="49"/>
      <c r="K36" s="78"/>
    </row>
    <row r="37" spans="2:11" ht="15.6" x14ac:dyDescent="0.3">
      <c r="B37" s="6" t="s">
        <v>36</v>
      </c>
      <c r="C37" s="6"/>
      <c r="D37" s="6"/>
      <c r="E37" s="78">
        <f>(Budget!H65+Budget!K65/(1+E35)+Budget!N65/((1+E35)^2)+Budget!Q65/((1+E35)^3)+Budget!Q65/(1+E35)^4+Budget!Q65/(1+E35)^5+Budget!Q65/(1+E35)^6+Budget!Q65/(1+E35)^7+Budget!Q65/(1+E35)^8+Budget!Q65/(1+E35)^9)</f>
        <v>6180.6344656824094</v>
      </c>
      <c r="F37" s="4"/>
      <c r="G37" s="6"/>
      <c r="H37" s="6"/>
      <c r="I37" s="6"/>
      <c r="J37" s="6"/>
      <c r="K37" s="78"/>
    </row>
    <row r="38" spans="2:11" ht="15.6" x14ac:dyDescent="0.3">
      <c r="B38" s="76" t="s">
        <v>37</v>
      </c>
      <c r="C38" s="76"/>
      <c r="D38" s="78"/>
      <c r="E38" s="78">
        <f>(Budget!H65+Budget!K65/(1+E35)+Budget!N65/((1+E35)^2)+Budget!Q65/((1+E35)^3)+Budget!Q65/(1+E35)^4+Budget!Q65/(1+E35)^5+Budget!Q65/(1+E35)^6+Budget!Q65/(1+E35)^7+Budget!Q65/(1+E35)^8+Budget!Q65/(1+E35)^9+Budget!Q65/(1+E35)^10+Budget!Q65/(1+E35)^11+Budget!Q65/(1+E35)^12+Budget!Q65/(1+E35)^13+Budget!Q65/(1+E35)^14)</f>
        <v>14412.43222620605</v>
      </c>
      <c r="F38" s="4"/>
      <c r="G38" s="6"/>
      <c r="H38" s="6"/>
      <c r="I38" s="6"/>
      <c r="J38" s="6"/>
      <c r="K38" s="78"/>
    </row>
    <row r="39" spans="2:11" ht="14.55" hidden="1" customHeight="1" x14ac:dyDescent="0.3">
      <c r="B39" s="4"/>
      <c r="C39" s="4"/>
      <c r="D39" s="4"/>
      <c r="E39" s="4"/>
      <c r="F39" s="4"/>
      <c r="G39" s="4"/>
      <c r="H39" s="4"/>
      <c r="I39" s="4"/>
      <c r="J39" s="4"/>
      <c r="K39" s="4"/>
    </row>
    <row r="41" spans="2:11" ht="32.1" hidden="1" customHeight="1" x14ac:dyDescent="0.3"/>
    <row r="42" spans="2:11" ht="15.6" hidden="1" x14ac:dyDescent="0.3">
      <c r="B42" s="142"/>
      <c r="C42" s="142"/>
      <c r="D42" s="142"/>
      <c r="E42" s="142"/>
      <c r="F42" s="142"/>
      <c r="G42" s="142"/>
      <c r="H42" s="142"/>
      <c r="I42" s="142"/>
      <c r="J42" s="142"/>
      <c r="K42" s="142"/>
    </row>
    <row r="43" spans="2:11" ht="15.6" hidden="1" x14ac:dyDescent="0.3">
      <c r="B43" s="142"/>
      <c r="C43" s="142"/>
      <c r="D43" s="142"/>
      <c r="E43" s="142"/>
      <c r="F43" s="142"/>
      <c r="G43" s="142"/>
      <c r="H43" s="142"/>
      <c r="I43" s="142"/>
      <c r="J43" s="142"/>
      <c r="K43" s="142"/>
    </row>
    <row r="44" spans="2:11" ht="15.6" hidden="1" x14ac:dyDescent="0.3">
      <c r="B44" s="8"/>
      <c r="C44" s="8"/>
      <c r="D44" s="8"/>
      <c r="E44" s="8"/>
      <c r="F44" s="8"/>
      <c r="G44" s="8"/>
      <c r="H44" s="8"/>
      <c r="I44" s="8"/>
      <c r="J44" s="8"/>
      <c r="K44" s="8"/>
    </row>
    <row r="45" spans="2:11" ht="15.6" hidden="1" x14ac:dyDescent="0.3">
      <c r="G45" s="7"/>
      <c r="H45" s="7"/>
      <c r="I45" s="7"/>
      <c r="J45" s="7"/>
      <c r="K45" s="7"/>
    </row>
    <row r="46" spans="2:11" ht="15.6" hidden="1" x14ac:dyDescent="0.3">
      <c r="G46" s="7"/>
      <c r="H46" s="7"/>
      <c r="I46" s="7"/>
      <c r="J46" s="7"/>
      <c r="K46" s="7"/>
    </row>
    <row r="47" spans="2:11" ht="15.6" hidden="1" x14ac:dyDescent="0.3">
      <c r="G47" s="7"/>
      <c r="H47" s="7"/>
      <c r="I47" s="7"/>
      <c r="J47" s="7"/>
      <c r="K47" s="7"/>
    </row>
    <row r="48" spans="2:11" ht="15.6" hidden="1" x14ac:dyDescent="0.3">
      <c r="G48" s="7"/>
      <c r="H48" s="7"/>
      <c r="I48" s="7"/>
      <c r="J48" s="7"/>
      <c r="K48" s="7"/>
    </row>
    <row r="49" spans="7:11" ht="15.6" hidden="1" x14ac:dyDescent="0.3">
      <c r="G49" s="7"/>
      <c r="H49" s="7"/>
      <c r="I49" s="7"/>
      <c r="J49" s="7"/>
      <c r="K49" s="7"/>
    </row>
  </sheetData>
  <sheetProtection sheet="1" objects="1" scenarios="1"/>
  <mergeCells count="15">
    <mergeCell ref="B1:K1"/>
    <mergeCell ref="B14:K14"/>
    <mergeCell ref="B42:K42"/>
    <mergeCell ref="B43:K43"/>
    <mergeCell ref="B29:K31"/>
    <mergeCell ref="B26:K26"/>
    <mergeCell ref="B6:B12"/>
    <mergeCell ref="E16:K16"/>
    <mergeCell ref="B18:B24"/>
    <mergeCell ref="B27:K27"/>
    <mergeCell ref="B2:K2"/>
    <mergeCell ref="B15:K15"/>
    <mergeCell ref="B28:K28"/>
    <mergeCell ref="B32:K32"/>
    <mergeCell ref="E3:K3"/>
  </mergeCells>
  <conditionalFormatting sqref="E6:K12">
    <cfRule type="cellIs" dxfId="1" priority="2" operator="lessThan">
      <formula>0</formula>
    </cfRule>
  </conditionalFormatting>
  <conditionalFormatting sqref="E18:K24">
    <cfRule type="cellIs" dxfId="0" priority="1" operator="lessThan">
      <formula>0</formula>
    </cfRule>
  </conditionalFormatting>
  <pageMargins left="0.5" right="0.5" top="0.5" bottom="0.5" header="0.5" footer="0.5"/>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5" ma:contentTypeDescription="Create a new document." ma:contentTypeScope="" ma:versionID="e7135de11d12d073d7a6ede4b04666d3">
  <xsd:schema xmlns:xsd="http://www.w3.org/2001/XMLSchema" xmlns:xs="http://www.w3.org/2001/XMLSchema" xmlns:p="http://schemas.microsoft.com/office/2006/metadata/properties" xmlns:ns2="afeaba0f-363c-487a-9eab-504fb0ae0068" xmlns:ns3="3cf54786-5cbe-4eed-9d82-be7bae57988e" targetNamespace="http://schemas.microsoft.com/office/2006/metadata/properties" ma:root="true" ma:fieldsID="153500833204045ca796943900e2c449" ns2:_="" ns3:_="">
    <xsd:import namespace="afeaba0f-363c-487a-9eab-504fb0ae0068"/>
    <xsd:import namespace="3cf54786-5cbe-4eed-9d82-be7bae5798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560828-92f4-433d-b2dd-f0bd0e5db71c}"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C5FB2E-A975-4361-AC71-F1F257ACC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eaba0f-363c-487a-9eab-504fb0ae0068"/>
    <ds:schemaRef ds:uri="3cf54786-5cbe-4eed-9d82-be7bae579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s>
</ds:datastoreItem>
</file>

<file path=customXml/itemProps3.xml><?xml version="1.0" encoding="utf-8"?>
<ds:datastoreItem xmlns:ds="http://schemas.openxmlformats.org/officeDocument/2006/customXml" ds:itemID="{803F0A06-9F9F-49EF-8C3D-05FBF50BAE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Budget</vt:lpstr>
      <vt:lpstr>Financial Sensitivity</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Jackson, Lauren</cp:lastModifiedBy>
  <cp:revision/>
  <cp:lastPrinted>2025-08-19T17:10:31Z</cp:lastPrinted>
  <dcterms:created xsi:type="dcterms:W3CDTF">2020-07-30T17:48:44Z</dcterms:created>
  <dcterms:modified xsi:type="dcterms:W3CDTF">2025-11-05T17:48:53Z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y fmtid="{D5CDD505-2E9C-101B-9397-08002B2CF9AE}" pid="3" name="MediaServiceImageTags">
    <vt:lpwstr/>
  </property>
</Properties>
</file>