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ailmissouri-my.sharepoint.com/personal/jacksonla_umsystem_edu/Documents/Desktop/Desktop 3-28/Website/FruitsandVeggies Project/New spreadsheets Sept 2025/"/>
    </mc:Choice>
  </mc:AlternateContent>
  <xr:revisionPtr revIDLastSave="114" documentId="8_{167BCC06-40F6-4BDD-9967-199FE72D3A02}" xr6:coauthVersionLast="47" xr6:coauthVersionMax="47" xr10:uidLastSave="{DCC56E1E-5AD2-413B-B765-0AB6C7B01A8A}"/>
  <workbookProtection lockStructure="1"/>
  <bookViews>
    <workbookView xWindow="5064" yWindow="840" windowWidth="17328" windowHeight="10296" xr2:uid="{50691399-9F51-4DAE-88E6-4D51F075FBD5}"/>
  </bookViews>
  <sheets>
    <sheet name="Introduction" sheetId="3" r:id="rId1"/>
    <sheet name="Budget" sheetId="1" r:id="rId2"/>
    <sheet name="Financial Sensitivity" sheetId="4" r:id="rId3"/>
  </sheets>
  <externalReferences>
    <externalReference r:id="rId4"/>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acres">#REF!</definedName>
    <definedName name="Boom_Sprayer">#REF!</definedName>
    <definedName name="Boom_Sprayer_SP">#REF!</definedName>
    <definedName name="byyield">#REF!</definedName>
    <definedName name="Chisel_Plow">#REF!</definedName>
    <definedName name="Chisel_Plow_FD">#REF!</definedName>
    <definedName name="Comb_Disk_VRipper">#REF!</definedName>
    <definedName name="Comb_Fld_Cult_Incorp">#REF!</definedName>
    <definedName name="Combine_Size">#REF!</definedName>
    <definedName name="Cornhead_Size">#REF!</definedName>
    <definedName name="crop">#REF!</definedName>
    <definedName name="cropnum">#REF!</definedName>
    <definedName name="Crops">#REF!</definedName>
    <definedName name="Cultivator">#REF!</definedName>
    <definedName name="Cultivator_HR">#REF!</definedName>
    <definedName name="customhire2">#REF!,#REF!</definedName>
    <definedName name="CustomImps">[1]!Table4[Activity]</definedName>
    <definedName name="Disc_Mower">#REF!</definedName>
    <definedName name="Disk">#REF!</definedName>
    <definedName name="Disk_Mower">#REF!</definedName>
    <definedName name="drying">#REF!,#REF!</definedName>
    <definedName name="Field_Cultivator">#REF!</definedName>
    <definedName name="Grain_Auger">#REF!</definedName>
    <definedName name="Graincart">#REF!</definedName>
    <definedName name="Grainhead_Size">#REF!</definedName>
    <definedName name="Harrow">#REF!</definedName>
    <definedName name="hauling">#REF!,#REF!</definedName>
    <definedName name="herbicide2">#REF!,#REF!</definedName>
    <definedName name="Implementlist">#REF!</definedName>
    <definedName name="Implements">#REF!</definedName>
    <definedName name="Implements7">#REF!</definedName>
    <definedName name="ImplSel">#REF!</definedName>
    <definedName name="import">#REF!</definedName>
    <definedName name="income">#REF!</definedName>
    <definedName name="insecticide2">#REF!,#REF!</definedName>
    <definedName name="Irrigation">#REF!</definedName>
    <definedName name="irrigation2">#REF!</definedName>
    <definedName name="lease_arrangement">#REF!</definedName>
    <definedName name="leasenum">#REF!</definedName>
    <definedName name="mdbvalues">#REF!,#REF!,#REF!,#REF!</definedName>
    <definedName name="Moldboard_Plow">#REF!</definedName>
    <definedName name="NoTill_Drill">#REF!</definedName>
    <definedName name="NoTill_Planter">#REF!</definedName>
    <definedName name="Passes">#REF!,#REF!,#REF!,#REF!</definedName>
    <definedName name="Planter">#REF!</definedName>
    <definedName name="postharvest">#REF!,#REF!,#REF!</definedName>
    <definedName name="Power">#REF!</definedName>
    <definedName name="Power_Size">#REF!</definedName>
    <definedName name="Powerlist">#REF!</definedName>
    <definedName name="PowerSel">#REF!</definedName>
    <definedName name="Presswheel_Drill">#REF!</definedName>
    <definedName name="Primary_Units">#REF!</definedName>
    <definedName name="primyield">#REF!</definedName>
    <definedName name="_xlnm.Print_Area" localSheetId="1">Budget!$A$1:$P$48</definedName>
    <definedName name="_xlnm.Print_Area" localSheetId="2">'Financial Sensitivity'!$B$1:$K$49</definedName>
    <definedName name="PUAlloc">#REF!</definedName>
    <definedName name="PUMiles">#REF!</definedName>
    <definedName name="rental">#REF!,#REF!,#REF!,#REF!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ller_Bar_Rake">#REF!</definedName>
    <definedName name="Round_Baler_Tie">#REF!</definedName>
    <definedName name="seed2">#REF!,#REF!,#REF!</definedName>
    <definedName name="SemiAlloc">#REF!</definedName>
    <definedName name="SemiMiles">#REF!</definedName>
    <definedName name="Silage_Wrapper">#REF!</definedName>
    <definedName name="Soybeanhead_Size">#REF!</definedName>
    <definedName name="SplitRow_Planter">#REF!</definedName>
    <definedName name="storage">#REF!,#REF!</definedName>
    <definedName name="Swather_Mower_Conditioner">#REF!</definedName>
    <definedName name="Tandem_Disk">#REF!</definedName>
    <definedName name="TenWheelAlloc">#REF!</definedName>
    <definedName name="TenWheelMiles">#REF!</definedName>
    <definedName name="VRipper">#REF!</definedName>
    <definedName name="Wheel_Rake">#REF!</definedName>
    <definedName name="wrn.all." hidden="1">{"detail",#N/A,FALSE,"Trac_Table";"tractable",#N/A,FALSE,"Trac_Table";"sensitivity",#N/A,FALSE,"Trac_Table"}</definedName>
    <definedName name="ww">[1]!Table4[Activity]</definedName>
    <definedName name="yiel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1" l="1"/>
  <c r="H5" i="4"/>
  <c r="I5" i="4" s="1"/>
  <c r="D9" i="4"/>
  <c r="J5" i="4" l="1"/>
  <c r="K5" i="4"/>
  <c r="G5" i="4"/>
  <c r="F5" i="4"/>
  <c r="E5" i="4"/>
  <c r="D8" i="4"/>
  <c r="D10" i="4"/>
  <c r="D11" i="4"/>
  <c r="D7" i="4"/>
  <c r="D12" i="4"/>
  <c r="D6" i="4"/>
  <c r="P44" i="1" l="1"/>
  <c r="M44" i="1"/>
  <c r="J44" i="1"/>
  <c r="G44" i="1"/>
  <c r="P12" i="1" l="1"/>
  <c r="P13" i="1"/>
  <c r="P14" i="1"/>
  <c r="P15" i="1"/>
  <c r="P11" i="1"/>
  <c r="P27" i="1"/>
  <c r="P26" i="1"/>
  <c r="M27" i="1"/>
  <c r="M26" i="1"/>
  <c r="J27" i="1"/>
  <c r="J26" i="1"/>
  <c r="P31" i="1"/>
  <c r="P32" i="1"/>
  <c r="P33" i="1"/>
  <c r="P34" i="1"/>
  <c r="P30" i="1"/>
  <c r="M31" i="1"/>
  <c r="M32" i="1"/>
  <c r="M33" i="1"/>
  <c r="M34" i="1"/>
  <c r="M30" i="1"/>
  <c r="J31" i="1"/>
  <c r="J32" i="1"/>
  <c r="J33" i="1"/>
  <c r="J34" i="1"/>
  <c r="J30" i="1"/>
  <c r="G31" i="1"/>
  <c r="G32" i="1"/>
  <c r="G33" i="1"/>
  <c r="G34" i="1"/>
  <c r="G30" i="1"/>
  <c r="P18" i="1"/>
  <c r="P19" i="1"/>
  <c r="P20" i="1"/>
  <c r="P17" i="1"/>
  <c r="M18" i="1"/>
  <c r="M19" i="1"/>
  <c r="M20" i="1"/>
  <c r="M17" i="1"/>
  <c r="J18" i="1"/>
  <c r="J19" i="1"/>
  <c r="J20" i="1"/>
  <c r="P24" i="1"/>
  <c r="M24" i="1"/>
  <c r="J24" i="1"/>
  <c r="J17" i="1"/>
  <c r="G18" i="1"/>
  <c r="G19" i="1"/>
  <c r="G20" i="1"/>
  <c r="G21" i="1"/>
  <c r="G22" i="1"/>
  <c r="G24" i="1"/>
  <c r="G17" i="1"/>
  <c r="M12" i="1"/>
  <c r="M13" i="1"/>
  <c r="M14" i="1"/>
  <c r="M15" i="1"/>
  <c r="M11" i="1"/>
  <c r="J12" i="1"/>
  <c r="J13" i="1"/>
  <c r="J14" i="1"/>
  <c r="J15" i="1"/>
  <c r="J11" i="1"/>
  <c r="G12" i="1"/>
  <c r="G13" i="1"/>
  <c r="G14" i="1"/>
  <c r="G15" i="1"/>
  <c r="G11" i="1"/>
  <c r="P9" i="1"/>
  <c r="M9" i="1"/>
  <c r="J9" i="1"/>
  <c r="G9" i="1"/>
  <c r="P5" i="1"/>
  <c r="M5" i="1"/>
  <c r="J5" i="1"/>
  <c r="G5" i="1"/>
  <c r="F26" i="1" l="1"/>
  <c r="G26" i="1" s="1"/>
  <c r="P6" i="1"/>
  <c r="M6" i="1"/>
  <c r="J6" i="1"/>
  <c r="G6" i="1"/>
  <c r="I28" i="1" l="1"/>
  <c r="J28" i="1" s="1"/>
  <c r="O28" i="1"/>
  <c r="P28" i="1" s="1"/>
  <c r="P38" i="1" s="1"/>
  <c r="L28" i="1"/>
  <c r="M28" i="1" s="1"/>
  <c r="M38" i="1" s="1"/>
  <c r="F28" i="1"/>
  <c r="G28" i="1" s="1"/>
  <c r="F27" i="1"/>
  <c r="G27" i="1" s="1"/>
  <c r="G39" i="1" l="1"/>
  <c r="M39" i="1"/>
  <c r="P39" i="1"/>
  <c r="P45" i="1" s="1"/>
  <c r="K19" i="4" l="1"/>
  <c r="I23" i="4"/>
  <c r="H21" i="4"/>
  <c r="G19" i="4"/>
  <c r="E22" i="4"/>
  <c r="K18" i="4"/>
  <c r="F19" i="4"/>
  <c r="K20" i="4"/>
  <c r="J24" i="4"/>
  <c r="I22" i="4"/>
  <c r="H20" i="4"/>
  <c r="F24" i="4"/>
  <c r="E23" i="4"/>
  <c r="J18" i="4"/>
  <c r="K24" i="4"/>
  <c r="G24" i="4"/>
  <c r="H18" i="4"/>
  <c r="J19" i="4"/>
  <c r="H22" i="4"/>
  <c r="G18" i="4"/>
  <c r="J23" i="4"/>
  <c r="I21" i="4"/>
  <c r="H19" i="4"/>
  <c r="F23" i="4"/>
  <c r="E21" i="4"/>
  <c r="I18" i="4"/>
  <c r="J22" i="4"/>
  <c r="F22" i="4"/>
  <c r="E20" i="4"/>
  <c r="E18" i="4"/>
  <c r="H23" i="4"/>
  <c r="F18" i="4"/>
  <c r="G20" i="4"/>
  <c r="I20" i="4"/>
  <c r="K23" i="4"/>
  <c r="J21" i="4"/>
  <c r="I19" i="4"/>
  <c r="G23" i="4"/>
  <c r="F21" i="4"/>
  <c r="E19" i="4"/>
  <c r="K22" i="4"/>
  <c r="J20" i="4"/>
  <c r="H24" i="4"/>
  <c r="G22" i="4"/>
  <c r="F20" i="4"/>
  <c r="K21" i="4"/>
  <c r="G21" i="4"/>
  <c r="I24" i="4"/>
  <c r="E24" i="4"/>
  <c r="P46" i="1"/>
  <c r="M45" i="1"/>
  <c r="M47" i="1" s="1"/>
  <c r="M46" i="1"/>
  <c r="G45" i="1"/>
  <c r="G46" i="1"/>
  <c r="P47" i="1" l="1"/>
  <c r="I9" i="4"/>
  <c r="H9" i="4"/>
  <c r="I6" i="4"/>
  <c r="F12" i="4"/>
  <c r="J6" i="4"/>
  <c r="F8" i="4"/>
  <c r="I12" i="4"/>
  <c r="K8" i="4"/>
  <c r="G9" i="4"/>
  <c r="E10" i="4"/>
  <c r="G10" i="4"/>
  <c r="G6" i="4"/>
  <c r="K12" i="4"/>
  <c r="E6" i="4"/>
  <c r="K9" i="4"/>
  <c r="H12" i="4"/>
  <c r="E7" i="4"/>
  <c r="K6" i="4"/>
  <c r="H8" i="4"/>
  <c r="J10" i="4"/>
  <c r="J9" i="4"/>
  <c r="G8" i="4"/>
  <c r="I7" i="4"/>
  <c r="I8" i="4"/>
  <c r="E8" i="4"/>
  <c r="I10" i="4"/>
  <c r="G12" i="4"/>
  <c r="F6" i="4"/>
  <c r="K10" i="4"/>
  <c r="I11" i="4"/>
  <c r="G11" i="4"/>
  <c r="H10" i="4"/>
  <c r="J7" i="4"/>
  <c r="H6" i="4"/>
  <c r="K7" i="4"/>
  <c r="J8" i="4"/>
  <c r="F11" i="4"/>
  <c r="E9" i="4"/>
  <c r="F10" i="4"/>
  <c r="F7" i="4"/>
  <c r="G7" i="4"/>
  <c r="E12" i="4"/>
  <c r="H11" i="4"/>
  <c r="F9" i="4"/>
  <c r="J11" i="4"/>
  <c r="H7" i="4"/>
  <c r="K11" i="4"/>
  <c r="J12" i="4"/>
  <c r="E11" i="4"/>
  <c r="G47" i="1"/>
  <c r="J38" i="1"/>
  <c r="J39" i="1" s="1"/>
  <c r="J45" i="1" s="1"/>
  <c r="J47" i="1" s="1"/>
  <c r="E38" i="4" l="1"/>
  <c r="E37" i="4"/>
  <c r="E36" i="4"/>
  <c r="J46" i="1"/>
</calcChain>
</file>

<file path=xl/sharedStrings.xml><?xml version="1.0" encoding="utf-8"?>
<sst xmlns="http://schemas.openxmlformats.org/spreadsheetml/2006/main" count="159" uniqueCount="106">
  <si>
    <t xml:space="preserve">Asparagus Enterprise Budget for Missouri </t>
  </si>
  <si>
    <t>Updated: 1/2025</t>
  </si>
  <si>
    <t>This worksheet is for educational purposes only and the user assumes all risks associated with its use.</t>
  </si>
  <si>
    <t>Revenue</t>
  </si>
  <si>
    <t>Unit</t>
  </si>
  <si>
    <t>Price
per unit</t>
  </si>
  <si>
    <t xml:space="preserve"> Quantity</t>
  </si>
  <si>
    <t>Dollars 
per acre</t>
  </si>
  <si>
    <t>Dollars
per acre</t>
  </si>
  <si>
    <t xml:space="preserve">  Asparagus</t>
  </si>
  <si>
    <t>pounds</t>
  </si>
  <si>
    <t xml:space="preserve">  Asparagus crowns</t>
  </si>
  <si>
    <t>each</t>
  </si>
  <si>
    <t xml:space="preserve">  Custom hire</t>
  </si>
  <si>
    <t xml:space="preserve">    Soil test</t>
  </si>
  <si>
    <t>soil test</t>
  </si>
  <si>
    <t xml:space="preserve">    Plowing</t>
  </si>
  <si>
    <t>acre</t>
  </si>
  <si>
    <t xml:space="preserve">    Disking</t>
  </si>
  <si>
    <t>times</t>
  </si>
  <si>
    <t xml:space="preserve">    Harrowing</t>
  </si>
  <si>
    <t xml:space="preserve">    Fertilizer spreading</t>
  </si>
  <si>
    <t xml:space="preserve">  Fertilizer/lime</t>
  </si>
  <si>
    <t xml:space="preserve">    Lime plus spreading</t>
  </si>
  <si>
    <t>ton</t>
  </si>
  <si>
    <t xml:space="preserve">    Nitrogen</t>
  </si>
  <si>
    <t>pound</t>
  </si>
  <si>
    <t xml:space="preserve">    Phosphorus</t>
  </si>
  <si>
    <t xml:space="preserve">    Potassium</t>
  </si>
  <si>
    <t>poiund</t>
  </si>
  <si>
    <t xml:space="preserve">  Fungicides</t>
  </si>
  <si>
    <t xml:space="preserve">  Insecticides</t>
  </si>
  <si>
    <t xml:space="preserve">  Herbicides</t>
  </si>
  <si>
    <t xml:space="preserve">  Drip tape</t>
  </si>
  <si>
    <t>feet</t>
  </si>
  <si>
    <t xml:space="preserve">    Boxes (30#)</t>
  </si>
  <si>
    <t xml:space="preserve">    Bands</t>
  </si>
  <si>
    <t xml:space="preserve">    Marketing </t>
  </si>
  <si>
    <t xml:space="preserve">  Labor</t>
  </si>
  <si>
    <t xml:space="preserve">    Operator</t>
  </si>
  <si>
    <t>hours</t>
  </si>
  <si>
    <t xml:space="preserve">    Seasonal</t>
  </si>
  <si>
    <t xml:space="preserve">    Implement</t>
  </si>
  <si>
    <t xml:space="preserve">    Harvest</t>
  </si>
  <si>
    <t>gallon</t>
  </si>
  <si>
    <t xml:space="preserve">    Tractors</t>
  </si>
  <si>
    <t xml:space="preserve">    Implements</t>
  </si>
  <si>
    <t>percent</t>
  </si>
  <si>
    <t xml:space="preserve">  Land</t>
  </si>
  <si>
    <t xml:space="preserve">  Machinery</t>
  </si>
  <si>
    <t xml:space="preserve">  Food safety inspection</t>
  </si>
  <si>
    <t>Total costs</t>
  </si>
  <si>
    <t>Return over total costs</t>
  </si>
  <si>
    <t>Net present value of net returns</t>
  </si>
  <si>
    <t>Income</t>
  </si>
  <si>
    <t>Total income</t>
  </si>
  <si>
    <t>Operating costs</t>
  </si>
  <si>
    <t>Total operating costs</t>
  </si>
  <si>
    <t>Ownership costs</t>
  </si>
  <si>
    <t>Total ownership costs</t>
  </si>
  <si>
    <t>Return over operating costs</t>
  </si>
  <si>
    <t>15% more</t>
  </si>
  <si>
    <t>10% more</t>
  </si>
  <si>
    <t>5% more</t>
  </si>
  <si>
    <t>Base</t>
  </si>
  <si>
    <t>5% less</t>
  </si>
  <si>
    <t>10% less</t>
  </si>
  <si>
    <t>15% less</t>
  </si>
  <si>
    <t>Pounds per acre</t>
  </si>
  <si>
    <t>Price per pound</t>
  </si>
  <si>
    <t>20% more</t>
  </si>
  <si>
    <t>30% more</t>
  </si>
  <si>
    <t>20% less</t>
  </si>
  <si>
    <t>30% less</t>
  </si>
  <si>
    <t>Growers interested in producing asparagus on a smaller scale might consider removing some of the costs associated with implements, fuel, and repair and maintanence and increasing the required labor hours.</t>
  </si>
  <si>
    <t>Average Returns Per Year and Net Present Values in Years 8, 10 and 15</t>
  </si>
  <si>
    <t>Required rate of return</t>
  </si>
  <si>
    <t xml:space="preserve">  NPV years 1-10</t>
  </si>
  <si>
    <t xml:space="preserve">  NPV years 1-15</t>
  </si>
  <si>
    <t xml:space="preserve">Will this business be profitable? Explore profitability with net present values and average returns per year. </t>
  </si>
  <si>
    <t xml:space="preserve">  NPV years 1-8</t>
  </si>
  <si>
    <t>Develop a customized budget by adjusting the assumptions in gray cells to match the management practices and expected yields and prices for your farm.</t>
  </si>
  <si>
    <t xml:space="preserve">Explore estimated annual per acre returns over total costs under varying revenue and cost scenarios in full production. </t>
  </si>
  <si>
    <r>
      <t>The</t>
    </r>
    <r>
      <rPr>
        <b/>
        <sz val="12"/>
        <color theme="1"/>
        <rFont val="Aptos"/>
        <family val="2"/>
        <scheme val="minor"/>
      </rPr>
      <t xml:space="preserve"> Net Present Value of net returns (NPV)</t>
    </r>
    <r>
      <rPr>
        <sz val="12"/>
        <color theme="1"/>
        <rFont val="Aptos"/>
        <family val="2"/>
        <scheme val="minor"/>
      </rPr>
      <t xml:space="preserve"> calculates the value of expected cash flows after subtracting intial investment costs over a period discounted to the present. Positive NPVs indicate the business is profitable. For example based on the model assumptions, 15 years after establishment the asparagus field is expected to return $10,936.37 in today's dollars factoring in a 6% required rate of return.</t>
    </r>
  </si>
  <si>
    <r>
      <rPr>
        <b/>
        <sz val="12"/>
        <color theme="1"/>
        <rFont val="Aptos"/>
        <family val="2"/>
        <scheme val="minor"/>
      </rPr>
      <t xml:space="preserve">The required rate of return </t>
    </r>
    <r>
      <rPr>
        <sz val="12"/>
        <color theme="1"/>
        <rFont val="Aptos"/>
        <family val="2"/>
        <scheme val="minor"/>
      </rPr>
      <t>reflects</t>
    </r>
    <r>
      <rPr>
        <b/>
        <sz val="12"/>
        <color theme="1"/>
        <rFont val="Aptos"/>
        <family val="2"/>
        <scheme val="minor"/>
      </rPr>
      <t xml:space="preserve"> </t>
    </r>
    <r>
      <rPr>
        <sz val="12"/>
        <color theme="1"/>
        <rFont val="Aptos"/>
        <family val="2"/>
        <scheme val="minor"/>
      </rPr>
      <t xml:space="preserve">the opportunity cost of capital, the desired rate of return, riskiness of the investment and allows you to compare potential financial performance of investing in an asparagus field to other investments. It is used to calculate a discount rate in the NPV formula which also accounts for the time value of money (assuming inflation continues - dollars received in the future are worth less than dollars received today). </t>
    </r>
  </si>
  <si>
    <r>
      <rPr>
        <b/>
        <sz val="12"/>
        <color theme="1"/>
        <rFont val="Aptos"/>
        <family val="2"/>
        <scheme val="minor"/>
      </rPr>
      <t>Breakeven:</t>
    </r>
    <r>
      <rPr>
        <sz val="12"/>
        <color theme="1"/>
        <rFont val="Aptos"/>
        <family val="2"/>
        <scheme val="minor"/>
      </rPr>
      <t xml:space="preserve"> The modeled 1 acre asparagus farm is expected to 'breakeven' (cover investment and operating costs) in year 8 (NPV becomes positive). </t>
    </r>
  </si>
  <si>
    <t>% of sales</t>
  </si>
  <si>
    <t xml:space="preserve">  Harvest/marketing</t>
  </si>
  <si>
    <t>Repairs and maintenance</t>
  </si>
  <si>
    <t>This budget models a 1-acre field of asparagus from establishment through 3 years of production, during the fourth year after planting this perennial crop is assumed to reach full yield potential. A farm of this size is assumed to sell asparagus into wholesale markets. Continual production is modeled through 14 growing seasons to discuss average returns per year and net present value of returns.</t>
  </si>
  <si>
    <t>Diesel fuel</t>
  </si>
  <si>
    <t>Interest on operating capital</t>
  </si>
  <si>
    <t xml:space="preserve">Budget created by Peter Zimmel, Food and Agricultural Policy Institute (FAPRI). Prices were updated January 2025. Access online at muext.us/MissouriAgBudgets. </t>
  </si>
  <si>
    <t>Asparagus Price and Yield Sensitivity Table</t>
  </si>
  <si>
    <t>Asparagus Enterprise Budget</t>
  </si>
  <si>
    <t>Year 1
establishment</t>
  </si>
  <si>
    <t>Year 2
first production</t>
  </si>
  <si>
    <t>Year 3
second production</t>
  </si>
  <si>
    <t>Year 4
third production</t>
  </si>
  <si>
    <t>Explore annual profitability expectations (per acre returns over total costs) under varying yield and price scenarios in full production and holding costs constant. Modify gray cells for further exploration.</t>
  </si>
  <si>
    <t xml:space="preserve">For budget questions, contact: </t>
  </si>
  <si>
    <t>Ryan Milhollin, MU Extension</t>
  </si>
  <si>
    <t xml:space="preserve">For horticulture expertise, contact: </t>
  </si>
  <si>
    <t>MU Commercial Horticulture Team</t>
  </si>
  <si>
    <t>Developed by: Peter Zimmel, FAPRI</t>
  </si>
  <si>
    <t>Asparagus Operating Costs and Revenue Sensitivity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</si>
</sst>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7" formatCode="&quot;$&quot;#,##0.00_);\(&quot;$&quot;#,##0.00\)"/>
    <numFmt numFmtId="44" formatCode="_(&quot;$&quot;* #,##0.00_);_(&quot;$&quot;* \(#,##0.00\);_(&quot;$&quot;* &quot;-&quot;??_);_(@_)"/>
    <numFmt numFmtId="164" formatCode="&quot;$&quot;#,##0.00"/>
    <numFmt numFmtId="165" formatCode="0.0"/>
    <numFmt numFmtId="166" formatCode="#,##0.0"/>
  </numFmts>
  <fonts count="26" x14ac:knownFonts="1">
    <font>
      <sz val="11"/>
      <color theme="1"/>
      <name val="Aptos"/>
      <family val="2"/>
      <scheme val="minor"/>
    </font>
    <font>
      <sz val="11"/>
      <color theme="1"/>
      <name val="Aptos"/>
      <family val="2"/>
      <scheme val="minor"/>
    </font>
    <font>
      <sz val="11"/>
      <color theme="1"/>
      <name val="Palatino Linotype"/>
      <family val="1"/>
    </font>
    <font>
      <b/>
      <sz val="11"/>
      <color theme="1"/>
      <name val="Aptos"/>
      <family val="2"/>
      <scheme val="minor"/>
    </font>
    <font>
      <u/>
      <sz val="11"/>
      <color theme="1"/>
      <name val="Palatino Linotype"/>
      <family val="1"/>
    </font>
    <font>
      <b/>
      <sz val="12"/>
      <color theme="1"/>
      <name val="Aptos"/>
      <family val="2"/>
      <scheme val="minor"/>
    </font>
    <font>
      <b/>
      <sz val="12"/>
      <color rgb="FFFDB719"/>
      <name val="Aptos Black"/>
      <family val="2"/>
      <scheme val="major"/>
    </font>
    <font>
      <b/>
      <sz val="11"/>
      <name val="Aptos"/>
      <family val="2"/>
      <scheme val="minor"/>
    </font>
    <font>
      <u/>
      <sz val="11"/>
      <color theme="1"/>
      <name val="Aptos"/>
      <family val="2"/>
      <scheme val="minor"/>
    </font>
    <font>
      <sz val="10"/>
      <color theme="1"/>
      <name val="Aptos"/>
      <family val="2"/>
      <scheme val="minor"/>
    </font>
    <font>
      <b/>
      <sz val="11"/>
      <color rgb="FF3F3F3F"/>
      <name val="Aptos"/>
      <family val="2"/>
      <scheme val="minor"/>
    </font>
    <font>
      <sz val="11"/>
      <color theme="1"/>
      <name val="Segoe UI"/>
      <family val="2"/>
    </font>
    <font>
      <b/>
      <sz val="14"/>
      <color rgb="FFF1B82D"/>
      <name val="Aptos"/>
      <family val="2"/>
      <scheme val="minor"/>
    </font>
    <font>
      <sz val="12"/>
      <color theme="1"/>
      <name val="Aptos"/>
      <family val="2"/>
      <scheme val="minor"/>
    </font>
    <font>
      <u/>
      <sz val="12"/>
      <color theme="1"/>
      <name val="Aptos"/>
      <family val="2"/>
      <scheme val="minor"/>
    </font>
    <font>
      <b/>
      <sz val="12"/>
      <color rgb="FF3F3F3F"/>
      <name val="Aptos"/>
      <family val="2"/>
      <scheme val="minor"/>
    </font>
    <font>
      <sz val="12"/>
      <color theme="1"/>
      <name val="Palatino Linotype"/>
      <family val="1"/>
    </font>
    <font>
      <b/>
      <sz val="12"/>
      <name val="Aptos"/>
      <family val="2"/>
      <scheme val="minor"/>
    </font>
    <font>
      <i/>
      <sz val="12"/>
      <color theme="1"/>
      <name val="Aptos"/>
      <family val="2"/>
      <scheme val="minor"/>
    </font>
    <font>
      <sz val="12"/>
      <name val="Aptos"/>
      <family val="2"/>
      <scheme val="minor"/>
    </font>
    <font>
      <b/>
      <sz val="12"/>
      <color rgb="FFF1B82D"/>
      <name val="Aptos"/>
      <family val="2"/>
      <scheme val="minor"/>
    </font>
    <font>
      <sz val="16"/>
      <color rgb="FFFDB719"/>
      <name val="Aptos Black"/>
      <family val="2"/>
      <scheme val="major"/>
    </font>
    <font>
      <b/>
      <sz val="16"/>
      <color rgb="FFF1B82D"/>
      <name val="Aptos Black"/>
      <family val="2"/>
      <scheme val="major"/>
    </font>
    <font>
      <b/>
      <sz val="12"/>
      <color rgb="FFF1B82D"/>
      <name val="Aptos Black"/>
      <family val="2"/>
      <scheme val="major"/>
    </font>
    <font>
      <u/>
      <sz val="11"/>
      <color theme="10"/>
      <name val="Aptos"/>
      <family val="2"/>
      <scheme val="minor"/>
    </font>
    <font>
      <b/>
      <u/>
      <sz val="12"/>
      <color theme="10"/>
      <name val="Aptos"/>
      <family val="2"/>
      <scheme val="minor"/>
    </font>
  </fonts>
  <fills count="7">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F2F2F2"/>
      </patternFill>
    </fill>
    <fill>
      <patternFill patternType="solid">
        <fgColor theme="0"/>
        <bgColor indexed="64"/>
      </patternFill>
    </fill>
    <fill>
      <patternFill patternType="solid">
        <fgColor theme="0" tint="-0.14999847407452621"/>
        <bgColor indexed="64"/>
      </patternFill>
    </fill>
  </fills>
  <borders count="30">
    <border>
      <left/>
      <right/>
      <top/>
      <bottom/>
      <diagonal/>
    </border>
    <border>
      <left/>
      <right/>
      <top style="thin">
        <color indexed="64"/>
      </top>
      <bottom style="thin">
        <color indexed="64"/>
      </bottom>
      <diagonal/>
    </border>
    <border>
      <left/>
      <right/>
      <top/>
      <bottom style="medium">
        <color indexed="64"/>
      </bottom>
      <diagonal/>
    </border>
    <border>
      <left/>
      <right/>
      <top/>
      <bottom style="thin">
        <color indexed="64"/>
      </bottom>
      <diagonal/>
    </border>
    <border>
      <left/>
      <right/>
      <top/>
      <bottom style="double">
        <color indexed="6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top style="thin">
        <color rgb="FF3F3F3F"/>
      </top>
      <bottom style="thin">
        <color rgb="FF3F3F3F"/>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0" fontId="10" fillId="4" borderId="5" applyNumberFormat="0" applyAlignment="0" applyProtection="0"/>
    <xf numFmtId="0" fontId="1" fillId="0" borderId="0"/>
    <xf numFmtId="44" fontId="1" fillId="0" borderId="0" applyFont="0" applyFill="0" applyBorder="0" applyAlignment="0" applyProtection="0"/>
    <xf numFmtId="0" fontId="24" fillId="0" borderId="0" applyNumberFormat="0" applyFill="0" applyBorder="0" applyAlignment="0" applyProtection="0"/>
  </cellStyleXfs>
  <cellXfs count="146">
    <xf numFmtId="0" fontId="0" fillId="0" borderId="0" xfId="0"/>
    <xf numFmtId="0" fontId="2" fillId="0" borderId="0" xfId="0" applyFont="1"/>
    <xf numFmtId="164" fontId="2" fillId="0" borderId="0" xfId="0" applyNumberFormat="1" applyFont="1"/>
    <xf numFmtId="0" fontId="4" fillId="0" borderId="0" xfId="0" applyFont="1"/>
    <xf numFmtId="0" fontId="5" fillId="0" borderId="0" xfId="0" applyFont="1"/>
    <xf numFmtId="0" fontId="6" fillId="0" borderId="0" xfId="0" applyFont="1"/>
    <xf numFmtId="0" fontId="9" fillId="0" borderId="0" xfId="0" applyFont="1"/>
    <xf numFmtId="0" fontId="9" fillId="0" borderId="0" xfId="0" applyFont="1" applyAlignment="1">
      <alignment horizontal="left"/>
    </xf>
    <xf numFmtId="9" fontId="9" fillId="0" borderId="0" xfId="0" applyNumberFormat="1" applyFont="1" applyAlignment="1">
      <alignment horizontal="left"/>
    </xf>
    <xf numFmtId="0" fontId="7" fillId="0" borderId="1" xfId="0" applyFont="1" applyBorder="1" applyAlignment="1">
      <alignment horizontal="left" wrapText="1"/>
    </xf>
    <xf numFmtId="0" fontId="11" fillId="5" borderId="0" xfId="0" applyFont="1" applyFill="1"/>
    <xf numFmtId="0" fontId="11" fillId="0" borderId="0" xfId="0" applyFont="1"/>
    <xf numFmtId="0" fontId="0" fillId="5" borderId="0" xfId="0" applyFill="1"/>
    <xf numFmtId="0" fontId="3" fillId="5" borderId="0" xfId="0" applyFont="1" applyFill="1" applyAlignment="1">
      <alignment horizontal="left" indent="4"/>
    </xf>
    <xf numFmtId="0" fontId="13" fillId="5" borderId="0" xfId="0" applyFont="1" applyFill="1"/>
    <xf numFmtId="0" fontId="13" fillId="0" borderId="0" xfId="0" applyFont="1"/>
    <xf numFmtId="164" fontId="13" fillId="0" borderId="0" xfId="0" applyNumberFormat="1" applyFont="1"/>
    <xf numFmtId="0" fontId="13" fillId="0" borderId="0" xfId="0" applyFont="1" applyAlignment="1">
      <alignment wrapText="1"/>
    </xf>
    <xf numFmtId="0" fontId="0" fillId="0" borderId="0" xfId="0" applyAlignment="1">
      <alignment wrapText="1"/>
    </xf>
    <xf numFmtId="0" fontId="2" fillId="0" borderId="0" xfId="0" applyFont="1" applyAlignment="1">
      <alignment wrapText="1"/>
    </xf>
    <xf numFmtId="9" fontId="0" fillId="0" borderId="0" xfId="1" applyFont="1" applyFill="1" applyBorder="1"/>
    <xf numFmtId="0" fontId="8" fillId="0" borderId="0" xfId="0" applyFont="1"/>
    <xf numFmtId="0" fontId="0" fillId="0" borderId="0" xfId="0" applyAlignment="1">
      <alignment horizontal="right"/>
    </xf>
    <xf numFmtId="164" fontId="0" fillId="0" borderId="0" xfId="0" applyNumberFormat="1"/>
    <xf numFmtId="0" fontId="5" fillId="5" borderId="0" xfId="0" applyFont="1" applyFill="1"/>
    <xf numFmtId="0" fontId="13" fillId="5" borderId="0" xfId="0" applyFont="1" applyFill="1" applyAlignment="1">
      <alignment horizontal="right"/>
    </xf>
    <xf numFmtId="0" fontId="16" fillId="0" borderId="0" xfId="0" applyFont="1"/>
    <xf numFmtId="0" fontId="17" fillId="0" borderId="1" xfId="0" applyFont="1" applyBorder="1"/>
    <xf numFmtId="0" fontId="5" fillId="0" borderId="0" xfId="0" applyFont="1" applyAlignment="1">
      <alignment horizontal="right"/>
    </xf>
    <xf numFmtId="0" fontId="19" fillId="0" borderId="0" xfId="0" applyFont="1"/>
    <xf numFmtId="0" fontId="17" fillId="0" borderId="1" xfId="0" applyFont="1" applyBorder="1" applyAlignment="1">
      <alignment horizontal="center" wrapText="1"/>
    </xf>
    <xf numFmtId="0" fontId="17" fillId="0" borderId="0" xfId="0" applyFont="1" applyAlignment="1">
      <alignment horizontal="center" wrapText="1"/>
    </xf>
    <xf numFmtId="0" fontId="17" fillId="0" borderId="0" xfId="0" applyFont="1"/>
    <xf numFmtId="0" fontId="17" fillId="0" borderId="0" xfId="0" applyFont="1" applyAlignment="1">
      <alignment horizontal="center"/>
    </xf>
    <xf numFmtId="164" fontId="13" fillId="0" borderId="3" xfId="0" applyNumberFormat="1" applyFont="1" applyBorder="1"/>
    <xf numFmtId="166" fontId="13" fillId="2" borderId="0" xfId="0" applyNumberFormat="1" applyFont="1" applyFill="1"/>
    <xf numFmtId="166" fontId="13" fillId="0" borderId="0" xfId="0" applyNumberFormat="1" applyFont="1"/>
    <xf numFmtId="165" fontId="13" fillId="0" borderId="0" xfId="0" applyNumberFormat="1" applyFont="1"/>
    <xf numFmtId="164" fontId="13" fillId="2" borderId="0" xfId="0" applyNumberFormat="1" applyFont="1" applyFill="1"/>
    <xf numFmtId="164" fontId="13" fillId="2" borderId="3" xfId="0" applyNumberFormat="1" applyFont="1" applyFill="1" applyBorder="1"/>
    <xf numFmtId="0" fontId="13" fillId="0" borderId="4" xfId="0" applyFont="1" applyBorder="1"/>
    <xf numFmtId="0" fontId="13" fillId="0" borderId="13" xfId="0" applyFont="1" applyBorder="1"/>
    <xf numFmtId="0" fontId="20" fillId="3" borderId="19" xfId="0" applyFont="1" applyFill="1" applyBorder="1" applyAlignment="1">
      <alignment horizontal="center" textRotation="90"/>
    </xf>
    <xf numFmtId="0" fontId="18" fillId="3" borderId="21" xfId="0" applyFont="1" applyFill="1" applyBorder="1"/>
    <xf numFmtId="0" fontId="20" fillId="3" borderId="19" xfId="0" applyFont="1" applyFill="1" applyBorder="1" applyAlignment="1">
      <alignment horizontal="center" vertical="center" textRotation="90"/>
    </xf>
    <xf numFmtId="2" fontId="13" fillId="0" borderId="19" xfId="0" applyNumberFormat="1" applyFont="1" applyBorder="1" applyAlignment="1">
      <alignment horizontal="center"/>
    </xf>
    <xf numFmtId="0" fontId="13" fillId="5" borderId="0" xfId="0" applyFont="1" applyFill="1" applyAlignment="1">
      <alignment horizontal="left"/>
    </xf>
    <xf numFmtId="0" fontId="14" fillId="5" borderId="0" xfId="0" applyFont="1" applyFill="1"/>
    <xf numFmtId="9" fontId="13" fillId="5" borderId="0" xfId="1" applyFont="1" applyFill="1"/>
    <xf numFmtId="9" fontId="13" fillId="5" borderId="0" xfId="1" applyFont="1" applyFill="1" applyBorder="1"/>
    <xf numFmtId="164" fontId="13" fillId="5" borderId="0" xfId="0" applyNumberFormat="1" applyFont="1" applyFill="1"/>
    <xf numFmtId="164" fontId="13" fillId="2" borderId="0" xfId="4" applyNumberFormat="1" applyFont="1" applyFill="1" applyProtection="1">
      <protection locked="0"/>
    </xf>
    <xf numFmtId="0" fontId="13" fillId="0" borderId="0" xfId="0" applyFont="1" applyProtection="1">
      <protection locked="0"/>
    </xf>
    <xf numFmtId="166" fontId="13" fillId="2" borderId="0" xfId="0" applyNumberFormat="1" applyFont="1" applyFill="1" applyProtection="1">
      <protection locked="0"/>
    </xf>
    <xf numFmtId="164" fontId="13" fillId="0" borderId="0" xfId="4" applyNumberFormat="1" applyFont="1" applyProtection="1">
      <protection locked="0"/>
    </xf>
    <xf numFmtId="166" fontId="13" fillId="0" borderId="0" xfId="0" applyNumberFormat="1" applyFont="1" applyProtection="1">
      <protection locked="0"/>
    </xf>
    <xf numFmtId="0" fontId="13" fillId="0" borderId="0" xfId="0" applyFont="1" applyAlignment="1" applyProtection="1">
      <alignment horizontal="left"/>
      <protection locked="0"/>
    </xf>
    <xf numFmtId="9" fontId="13" fillId="2" borderId="0" xfId="1" applyFont="1" applyFill="1" applyProtection="1">
      <protection locked="0"/>
    </xf>
    <xf numFmtId="9" fontId="13" fillId="0" borderId="0" xfId="0" applyNumberFormat="1" applyFont="1" applyAlignment="1" applyProtection="1">
      <alignment horizontal="left"/>
      <protection locked="0"/>
    </xf>
    <xf numFmtId="10" fontId="13" fillId="2" borderId="0" xfId="0" applyNumberFormat="1" applyFont="1" applyFill="1" applyProtection="1">
      <protection locked="0"/>
    </xf>
    <xf numFmtId="164" fontId="13" fillId="2" borderId="0" xfId="0" applyNumberFormat="1" applyFont="1" applyFill="1" applyProtection="1">
      <protection locked="0"/>
    </xf>
    <xf numFmtId="165" fontId="13" fillId="0" borderId="0" xfId="0" applyNumberFormat="1" applyFont="1" applyProtection="1">
      <protection locked="0"/>
    </xf>
    <xf numFmtId="3" fontId="13" fillId="0" borderId="0" xfId="0" applyNumberFormat="1" applyFont="1"/>
    <xf numFmtId="0" fontId="0" fillId="0" borderId="0" xfId="0" applyProtection="1">
      <protection locked="0"/>
    </xf>
    <xf numFmtId="164" fontId="13" fillId="0" borderId="13" xfId="0" applyNumberFormat="1" applyFont="1" applyBorder="1"/>
    <xf numFmtId="164" fontId="13" fillId="0" borderId="4" xfId="0" applyNumberFormat="1" applyFont="1" applyBorder="1"/>
    <xf numFmtId="165" fontId="13" fillId="2" borderId="0" xfId="0" applyNumberFormat="1" applyFont="1" applyFill="1" applyProtection="1">
      <protection locked="0"/>
    </xf>
    <xf numFmtId="164" fontId="13" fillId="2" borderId="3" xfId="0" applyNumberFormat="1" applyFont="1" applyFill="1" applyBorder="1" applyProtection="1">
      <protection locked="0"/>
    </xf>
    <xf numFmtId="9" fontId="13" fillId="6" borderId="0" xfId="1" applyFont="1" applyFill="1" applyProtection="1">
      <protection locked="0"/>
    </xf>
    <xf numFmtId="0" fontId="11" fillId="5" borderId="0" xfId="0" applyFont="1" applyFill="1" applyAlignment="1">
      <alignment horizontal="center"/>
    </xf>
    <xf numFmtId="0" fontId="5" fillId="5" borderId="0" xfId="0" applyFont="1" applyFill="1" applyAlignment="1">
      <alignment horizontal="left" vertical="top" wrapText="1"/>
    </xf>
    <xf numFmtId="6" fontId="13" fillId="0" borderId="18" xfId="4" applyNumberFormat="1" applyFont="1" applyBorder="1"/>
    <xf numFmtId="6" fontId="13" fillId="0" borderId="13" xfId="4" applyNumberFormat="1" applyFont="1" applyBorder="1"/>
    <xf numFmtId="6" fontId="13" fillId="0" borderId="20" xfId="4" applyNumberFormat="1" applyFont="1" applyBorder="1"/>
    <xf numFmtId="6" fontId="13" fillId="0" borderId="14" xfId="4" applyNumberFormat="1" applyFont="1" applyBorder="1"/>
    <xf numFmtId="6" fontId="13" fillId="0" borderId="0" xfId="4" applyNumberFormat="1" applyFont="1" applyBorder="1"/>
    <xf numFmtId="6" fontId="13" fillId="0" borderId="15" xfId="4" applyNumberFormat="1" applyFont="1" applyBorder="1"/>
    <xf numFmtId="6" fontId="13" fillId="0" borderId="22" xfId="4" applyNumberFormat="1" applyFont="1" applyBorder="1"/>
    <xf numFmtId="6" fontId="13" fillId="0" borderId="17" xfId="4" applyNumberFormat="1" applyFont="1" applyBorder="1"/>
    <xf numFmtId="6" fontId="13" fillId="0" borderId="3" xfId="4" applyNumberFormat="1" applyFont="1" applyBorder="1"/>
    <xf numFmtId="6" fontId="13" fillId="0" borderId="16" xfId="4" applyNumberFormat="1" applyFont="1" applyBorder="1"/>
    <xf numFmtId="7" fontId="13" fillId="0" borderId="14" xfId="4" applyNumberFormat="1" applyFont="1" applyBorder="1" applyAlignment="1">
      <alignment horizontal="center"/>
    </xf>
    <xf numFmtId="7" fontId="13" fillId="2" borderId="14" xfId="4" applyNumberFormat="1" applyFont="1" applyFill="1" applyBorder="1" applyAlignment="1" applyProtection="1">
      <alignment horizontal="center"/>
      <protection locked="0"/>
    </xf>
    <xf numFmtId="0" fontId="5" fillId="5" borderId="0" xfId="0" applyFont="1" applyFill="1" applyAlignment="1">
      <alignment horizontal="right" vertical="top" wrapText="1"/>
    </xf>
    <xf numFmtId="0" fontId="25" fillId="5" borderId="0" xfId="5" applyFont="1" applyFill="1" applyAlignment="1">
      <alignment horizontal="left" vertical="top" wrapText="1"/>
    </xf>
    <xf numFmtId="6" fontId="19" fillId="0" borderId="0" xfId="4" applyNumberFormat="1" applyFont="1" applyBorder="1"/>
    <xf numFmtId="0" fontId="13" fillId="3" borderId="18" xfId="0" applyFont="1" applyFill="1" applyBorder="1"/>
    <xf numFmtId="0" fontId="13" fillId="3" borderId="13" xfId="0" applyFont="1" applyFill="1" applyBorder="1"/>
    <xf numFmtId="0" fontId="13" fillId="3" borderId="14" xfId="0" applyFont="1" applyFill="1" applyBorder="1"/>
    <xf numFmtId="0" fontId="13" fillId="3" borderId="0" xfId="0" applyFont="1" applyFill="1"/>
    <xf numFmtId="0" fontId="20" fillId="3" borderId="14" xfId="0" applyFont="1" applyFill="1" applyBorder="1" applyAlignment="1">
      <alignment horizontal="center" textRotation="90"/>
    </xf>
    <xf numFmtId="0" fontId="19" fillId="5" borderId="0" xfId="0" applyFont="1" applyFill="1" applyAlignment="1">
      <alignment horizontal="center" vertical="center"/>
    </xf>
    <xf numFmtId="9" fontId="19" fillId="5" borderId="0" xfId="0" applyNumberFormat="1" applyFont="1" applyFill="1" applyAlignment="1">
      <alignment horizontal="center" vertical="center"/>
    </xf>
    <xf numFmtId="0" fontId="19" fillId="5" borderId="3" xfId="0" applyFont="1" applyFill="1" applyBorder="1" applyAlignment="1">
      <alignment horizontal="center" vertical="center"/>
    </xf>
    <xf numFmtId="7" fontId="13" fillId="0" borderId="17" xfId="4" applyNumberFormat="1" applyFont="1" applyBorder="1" applyAlignment="1">
      <alignment horizontal="center"/>
    </xf>
    <xf numFmtId="6" fontId="19" fillId="0" borderId="18" xfId="4" applyNumberFormat="1" applyFont="1" applyBorder="1"/>
    <xf numFmtId="6" fontId="19" fillId="0" borderId="13" xfId="4" applyNumberFormat="1" applyFont="1" applyBorder="1"/>
    <xf numFmtId="6" fontId="19" fillId="0" borderId="14" xfId="4" applyNumberFormat="1" applyFont="1" applyBorder="1"/>
    <xf numFmtId="0" fontId="13" fillId="3" borderId="20" xfId="0" applyFont="1" applyFill="1" applyBorder="1"/>
    <xf numFmtId="0" fontId="13" fillId="3" borderId="15" xfId="0" applyFont="1" applyFill="1" applyBorder="1"/>
    <xf numFmtId="0" fontId="20" fillId="3" borderId="17" xfId="0" applyFont="1" applyFill="1" applyBorder="1" applyAlignment="1">
      <alignment horizontal="center" textRotation="90"/>
    </xf>
    <xf numFmtId="0" fontId="20" fillId="3" borderId="3" xfId="0" applyFont="1" applyFill="1" applyBorder="1" applyAlignment="1">
      <alignment horizontal="center" textRotation="90"/>
    </xf>
    <xf numFmtId="0" fontId="20" fillId="3" borderId="27" xfId="0" applyFont="1" applyFill="1" applyBorder="1" applyAlignment="1">
      <alignment horizontal="center" vertical="center" textRotation="90"/>
    </xf>
    <xf numFmtId="2" fontId="13" fillId="0" borderId="27" xfId="0" applyNumberFormat="1" applyFont="1" applyBorder="1" applyAlignment="1">
      <alignment horizontal="center"/>
    </xf>
    <xf numFmtId="3" fontId="13" fillId="0" borderId="28" xfId="0" applyNumberFormat="1" applyFont="1" applyBorder="1"/>
    <xf numFmtId="3" fontId="13" fillId="0" borderId="1" xfId="0" applyNumberFormat="1" applyFont="1" applyBorder="1"/>
    <xf numFmtId="3" fontId="13" fillId="2" borderId="1" xfId="0" applyNumberFormat="1" applyFont="1" applyFill="1" applyBorder="1" applyProtection="1">
      <protection locked="0"/>
    </xf>
    <xf numFmtId="3" fontId="13" fillId="0" borderId="24" xfId="0" applyNumberFormat="1" applyFont="1" applyBorder="1"/>
    <xf numFmtId="0" fontId="19" fillId="5" borderId="28" xfId="0" applyFont="1" applyFill="1" applyBorder="1" applyAlignment="1">
      <alignment horizontal="right"/>
    </xf>
    <xf numFmtId="0" fontId="19" fillId="5" borderId="1" xfId="0" applyFont="1" applyFill="1" applyBorder="1" applyAlignment="1">
      <alignment horizontal="right"/>
    </xf>
    <xf numFmtId="0" fontId="19" fillId="5" borderId="24" xfId="0" applyFont="1" applyFill="1" applyBorder="1" applyAlignment="1">
      <alignment horizontal="right"/>
    </xf>
    <xf numFmtId="0" fontId="18" fillId="3" borderId="29" xfId="0" applyFont="1" applyFill="1" applyBorder="1"/>
    <xf numFmtId="0" fontId="13" fillId="3" borderId="28" xfId="0" applyFont="1" applyFill="1" applyBorder="1"/>
    <xf numFmtId="0" fontId="13" fillId="3" borderId="23" xfId="0" applyFont="1" applyFill="1" applyBorder="1"/>
    <xf numFmtId="3" fontId="13" fillId="0" borderId="28" xfId="0" applyNumberFormat="1" applyFont="1" applyBorder="1" applyAlignment="1">
      <alignment horizontal="right"/>
    </xf>
    <xf numFmtId="3" fontId="13" fillId="0" borderId="1" xfId="0" applyNumberFormat="1" applyFont="1" applyBorder="1" applyAlignment="1">
      <alignment horizontal="right"/>
    </xf>
    <xf numFmtId="3" fontId="13" fillId="0" borderId="24" xfId="0" applyNumberFormat="1" applyFont="1" applyBorder="1" applyAlignment="1">
      <alignment horizontal="right"/>
    </xf>
    <xf numFmtId="0" fontId="12" fillId="3" borderId="6" xfId="0" applyFont="1" applyFill="1" applyBorder="1"/>
    <xf numFmtId="0" fontId="12" fillId="3" borderId="7" xfId="0" applyFont="1" applyFill="1" applyBorder="1"/>
    <xf numFmtId="0" fontId="22" fillId="3" borderId="6" xfId="3" applyFont="1" applyFill="1" applyBorder="1" applyAlignment="1">
      <alignment horizontal="center"/>
    </xf>
    <xf numFmtId="0" fontId="22" fillId="3" borderId="7" xfId="3" applyFont="1" applyFill="1" applyBorder="1" applyAlignment="1">
      <alignment horizontal="center"/>
    </xf>
    <xf numFmtId="0" fontId="22" fillId="3" borderId="8" xfId="3" applyFont="1" applyFill="1" applyBorder="1" applyAlignment="1">
      <alignment horizontal="center"/>
    </xf>
    <xf numFmtId="0" fontId="13" fillId="5" borderId="0" xfId="0" applyFont="1" applyFill="1" applyAlignment="1">
      <alignment horizontal="right"/>
    </xf>
    <xf numFmtId="0" fontId="0" fillId="5" borderId="0" xfId="0" applyFill="1"/>
    <xf numFmtId="0" fontId="13" fillId="5" borderId="0" xfId="0" applyFont="1" applyFill="1" applyAlignment="1">
      <alignment horizontal="left" vertical="top" wrapText="1"/>
    </xf>
    <xf numFmtId="0" fontId="15" fillId="4" borderId="9" xfId="2" applyFont="1" applyBorder="1" applyAlignment="1">
      <alignment horizontal="center" wrapText="1"/>
    </xf>
    <xf numFmtId="0" fontId="15" fillId="4" borderId="10" xfId="2" applyFont="1" applyBorder="1" applyAlignment="1">
      <alignment horizontal="center" wrapText="1"/>
    </xf>
    <xf numFmtId="0" fontId="15" fillId="4" borderId="11" xfId="2" applyFont="1" applyBorder="1" applyAlignment="1">
      <alignment horizontal="center" wrapText="1"/>
    </xf>
    <xf numFmtId="0" fontId="13" fillId="5" borderId="0" xfId="0" applyFont="1" applyFill="1" applyAlignment="1">
      <alignment horizontal="left" wrapText="1"/>
    </xf>
    <xf numFmtId="0" fontId="11" fillId="5" borderId="0" xfId="0" applyFont="1" applyFill="1" applyAlignment="1">
      <alignment horizontal="center"/>
    </xf>
    <xf numFmtId="0" fontId="5" fillId="5" borderId="0" xfId="0" applyFont="1" applyFill="1" applyAlignment="1">
      <alignment horizontal="left" vertical="top" wrapText="1"/>
    </xf>
    <xf numFmtId="0" fontId="0" fillId="0" borderId="0" xfId="0" applyAlignment="1">
      <alignment horizontal="left" wrapText="1"/>
    </xf>
    <xf numFmtId="164" fontId="0" fillId="0" borderId="0" xfId="0" applyNumberFormat="1" applyAlignment="1">
      <alignment horizontal="right"/>
    </xf>
    <xf numFmtId="0" fontId="21" fillId="3" borderId="2" xfId="0" applyFont="1" applyFill="1" applyBorder="1" applyAlignment="1">
      <alignment horizontal="center" wrapText="1"/>
    </xf>
    <xf numFmtId="0" fontId="19" fillId="0" borderId="12" xfId="0" applyFont="1" applyBorder="1" applyAlignment="1">
      <alignment horizontal="center" wrapText="1"/>
    </xf>
    <xf numFmtId="0" fontId="13" fillId="0" borderId="0" xfId="0" applyFont="1" applyAlignment="1">
      <alignment horizontal="left"/>
    </xf>
    <xf numFmtId="0" fontId="5" fillId="0" borderId="13" xfId="0" applyFont="1" applyBorder="1" applyAlignment="1">
      <alignment horizontal="left" wrapText="1"/>
    </xf>
    <xf numFmtId="0" fontId="5" fillId="0" borderId="4" xfId="0" applyFont="1" applyBorder="1" applyAlignment="1">
      <alignment horizontal="left"/>
    </xf>
    <xf numFmtId="0" fontId="5" fillId="5" borderId="0" xfId="0" applyFont="1" applyFill="1" applyAlignment="1">
      <alignment horizontal="center"/>
    </xf>
    <xf numFmtId="0" fontId="23" fillId="3" borderId="25" xfId="0" applyFont="1" applyFill="1" applyBorder="1" applyAlignment="1">
      <alignment horizontal="center" vertical="center" textRotation="90"/>
    </xf>
    <xf numFmtId="0" fontId="23" fillId="3" borderId="26" xfId="0" applyFont="1" applyFill="1" applyBorder="1" applyAlignment="1">
      <alignment horizontal="center" vertical="center" textRotation="90"/>
    </xf>
    <xf numFmtId="0" fontId="23" fillId="3" borderId="23" xfId="0" applyFont="1" applyFill="1" applyBorder="1" applyAlignment="1">
      <alignment horizontal="center"/>
    </xf>
    <xf numFmtId="0" fontId="23" fillId="3" borderId="1" xfId="0" applyFont="1" applyFill="1" applyBorder="1" applyAlignment="1">
      <alignment horizontal="center"/>
    </xf>
    <xf numFmtId="0" fontId="23" fillId="3" borderId="24" xfId="0" applyFont="1" applyFill="1" applyBorder="1" applyAlignment="1">
      <alignment horizontal="center"/>
    </xf>
    <xf numFmtId="0" fontId="23" fillId="3" borderId="14" xfId="0" applyFont="1" applyFill="1" applyBorder="1" applyAlignment="1">
      <alignment horizontal="center" vertical="center" textRotation="90"/>
    </xf>
    <xf numFmtId="0" fontId="23" fillId="3" borderId="17" xfId="0" applyFont="1" applyFill="1" applyBorder="1" applyAlignment="1">
      <alignment horizontal="center" vertical="center" textRotation="90"/>
    </xf>
  </cellXfs>
  <cellStyles count="6">
    <cellStyle name="Currency" xfId="4" builtinId="4"/>
    <cellStyle name="Hyperlink" xfId="5" builtinId="8"/>
    <cellStyle name="Normal" xfId="0" builtinId="0"/>
    <cellStyle name="Normal 2 2" xfId="3" xr:uid="{B82EEC54-C959-4263-882E-61D78481713D}"/>
    <cellStyle name="Output" xfId="2" builtinId="21"/>
    <cellStyle name="Percent" xfId="1" builtinId="5"/>
  </cellStyles>
  <dxfs count="2">
    <dxf>
      <font>
        <color rgb="FFFF0000"/>
      </font>
    </dxf>
    <dxf>
      <font>
        <color rgb="FFFF0000"/>
      </font>
    </dxf>
  </dxfs>
  <tableStyles count="0" defaultTableStyle="TableStyleMedium2" defaultPivotStyle="PivotStyleLight16"/>
  <colors>
    <mruColors>
      <color rgb="FFFDB7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4</xdr:row>
      <xdr:rowOff>0</xdr:rowOff>
    </xdr:from>
    <xdr:to>
      <xdr:col>4</xdr:col>
      <xdr:colOff>9525</xdr:colOff>
      <xdr:row>9</xdr:row>
      <xdr:rowOff>15556</xdr:rowOff>
    </xdr:to>
    <xdr:pic>
      <xdr:nvPicPr>
        <xdr:cNvPr id="3" name="Picture 2" descr="University of Missouri - Extension and Food &amp; Agricultural Policy Research Institute">
          <a:extLst>
            <a:ext uri="{FF2B5EF4-FFF2-40B4-BE49-F238E27FC236}">
              <a16:creationId xmlns:a16="http://schemas.microsoft.com/office/drawing/2014/main" id="{88592480-FE63-4673-94EE-E8C1726467A1}"/>
            </a:ext>
          </a:extLst>
        </xdr:cNvPr>
        <xdr:cNvPicPr>
          <a:picLocks noChangeAspect="1"/>
        </xdr:cNvPicPr>
      </xdr:nvPicPr>
      <xdr:blipFill>
        <a:blip xmlns:r="http://schemas.openxmlformats.org/officeDocument/2006/relationships" r:embed="rId1"/>
        <a:stretch>
          <a:fillRect/>
        </a:stretch>
      </xdr:blipFill>
      <xdr:spPr>
        <a:xfrm>
          <a:off x="4486275" y="885825"/>
          <a:ext cx="2800350" cy="9490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ailmissouri-my.sharepoint.com/personal/milhollinr_umsystem_edu/Documents/Crops/Crop%20Budgets/2025/Forage/ForageBudgets%202025.xlsx" TargetMode="External"/><Relationship Id="rId1" Type="http://schemas.openxmlformats.org/officeDocument/2006/relationships/externalLinkPath" Target="/personal/milhollinr_umsystem_edu/Documents/Crops/Crop%20Budgets/2025/Forage/ForageBudget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Inputs"/>
      <sheetName val="Alfalfa Establishment"/>
      <sheetName val="Alfalfa Small Squares"/>
      <sheetName val="Alfalfa Baleage"/>
      <sheetName val="Corn Silage"/>
      <sheetName val="Pasture Establishment"/>
      <sheetName val="Mixed Hay"/>
      <sheetName val="Fescue Seed+Forage"/>
      <sheetName val="Equipment"/>
      <sheetName val="Machinery Input Tables"/>
      <sheetName val="Custom Hire"/>
      <sheetName val="ForageBudgets 202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Aptos Black"/>
        <a:ea typeface=""/>
        <a:cs typeface=""/>
      </a:majorFont>
      <a:minorFont>
        <a:latin typeface="Aptos"/>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xtension.missouri.edu/people/ryan-milhollin" TargetMode="External"/><Relationship Id="rId1" Type="http://schemas.openxmlformats.org/officeDocument/2006/relationships/hyperlink" Target="https://extension.missouri.edu/programs/commercial-horticulture/find-a-horticulturist-near-yo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9F4B3-BEC6-433D-A8AA-F26AB248039B}">
  <sheetPr>
    <pageSetUpPr fitToPage="1"/>
  </sheetPr>
  <dimension ref="A1:M29"/>
  <sheetViews>
    <sheetView tabSelected="1" workbookViewId="0"/>
  </sheetViews>
  <sheetFormatPr defaultColWidth="0" defaultRowHeight="16.5" customHeight="1" zeroHeight="1" x14ac:dyDescent="0.4"/>
  <cols>
    <col min="1" max="1" width="2.796875" style="11" customWidth="1"/>
    <col min="2" max="2" width="35.59765625" style="11" customWidth="1"/>
    <col min="3" max="3" width="34.59765625" style="11" customWidth="1"/>
    <col min="4" max="4" width="36.59765625" style="11" customWidth="1"/>
    <col min="5" max="5" width="3" style="11" customWidth="1"/>
    <col min="6" max="8" width="9" style="11" hidden="1" customWidth="1"/>
    <col min="9" max="13" width="0" style="11" hidden="1" customWidth="1"/>
    <col min="14" max="16384" width="9" style="11" hidden="1"/>
  </cols>
  <sheetData>
    <row r="1" spans="1:13" ht="17.399999999999999" thickBot="1" x14ac:dyDescent="0.45">
      <c r="A1" s="10"/>
      <c r="B1" s="12"/>
      <c r="C1" s="12"/>
      <c r="D1" s="12"/>
      <c r="E1" s="10"/>
      <c r="F1" s="10"/>
      <c r="G1" s="10"/>
      <c r="H1" s="10"/>
      <c r="I1" s="10"/>
      <c r="J1" s="10"/>
      <c r="K1" s="10"/>
      <c r="L1" s="10"/>
      <c r="M1" s="10"/>
    </row>
    <row r="2" spans="1:13" ht="19.5" customHeight="1" thickBot="1" x14ac:dyDescent="0.45">
      <c r="A2" s="10"/>
      <c r="B2" s="119" t="s">
        <v>0</v>
      </c>
      <c r="C2" s="120"/>
      <c r="D2" s="121"/>
      <c r="E2" s="10"/>
      <c r="F2" s="10"/>
      <c r="G2" s="10"/>
      <c r="H2" s="10"/>
    </row>
    <row r="3" spans="1:13" ht="16.5" customHeight="1" x14ac:dyDescent="0.4">
      <c r="A3" s="10"/>
      <c r="B3" s="122" t="s">
        <v>1</v>
      </c>
      <c r="C3" s="122"/>
      <c r="D3" s="122"/>
      <c r="E3" s="10"/>
      <c r="F3" s="10"/>
      <c r="G3" s="10"/>
      <c r="H3" s="10"/>
    </row>
    <row r="4" spans="1:13" ht="16.8" x14ac:dyDescent="0.4">
      <c r="A4" s="10"/>
      <c r="B4" s="123"/>
      <c r="C4" s="123"/>
      <c r="D4" s="123"/>
      <c r="E4" s="10"/>
      <c r="F4" s="10"/>
      <c r="G4" s="10"/>
      <c r="H4" s="10"/>
    </row>
    <row r="5" spans="1:13" ht="16.8" x14ac:dyDescent="0.4">
      <c r="A5" s="10"/>
      <c r="B5" s="24" t="s">
        <v>104</v>
      </c>
      <c r="C5" s="15"/>
      <c r="D5" s="129"/>
      <c r="E5" s="10"/>
      <c r="F5" s="10"/>
      <c r="G5" s="10"/>
      <c r="H5" s="10"/>
    </row>
    <row r="6" spans="1:13" ht="16.5" customHeight="1" x14ac:dyDescent="0.4">
      <c r="A6" s="10"/>
      <c r="B6" s="130"/>
      <c r="C6" s="130"/>
      <c r="D6" s="129"/>
      <c r="E6" s="10"/>
      <c r="F6" s="10"/>
      <c r="G6" s="10"/>
      <c r="H6" s="10"/>
    </row>
    <row r="7" spans="1:13" ht="16.5" customHeight="1" x14ac:dyDescent="0.4">
      <c r="A7" s="10"/>
      <c r="B7" s="83" t="s">
        <v>100</v>
      </c>
      <c r="C7" s="84" t="s">
        <v>101</v>
      </c>
      <c r="D7" s="69"/>
      <c r="E7" s="10"/>
      <c r="F7" s="10"/>
      <c r="G7" s="10"/>
      <c r="H7" s="10"/>
    </row>
    <row r="8" spans="1:13" ht="8.1" customHeight="1" x14ac:dyDescent="0.4">
      <c r="A8" s="10"/>
      <c r="B8" s="83"/>
      <c r="C8" s="70"/>
      <c r="D8" s="69"/>
      <c r="E8" s="10"/>
      <c r="F8" s="10"/>
      <c r="G8" s="10"/>
      <c r="H8" s="10"/>
    </row>
    <row r="9" spans="1:13" ht="16.5" customHeight="1" x14ac:dyDescent="0.4">
      <c r="A9" s="10"/>
      <c r="B9" s="83" t="s">
        <v>102</v>
      </c>
      <c r="C9" s="84" t="s">
        <v>103</v>
      </c>
      <c r="D9" s="69"/>
      <c r="E9" s="10"/>
      <c r="F9" s="10"/>
      <c r="G9" s="10"/>
      <c r="H9" s="10"/>
    </row>
    <row r="10" spans="1:13" ht="16.5" customHeight="1" x14ac:dyDescent="0.4">
      <c r="A10" s="10"/>
      <c r="B10" s="13"/>
      <c r="C10"/>
      <c r="D10" s="12"/>
      <c r="E10" s="10"/>
      <c r="F10" s="10"/>
      <c r="G10" s="10"/>
      <c r="H10" s="10"/>
    </row>
    <row r="11" spans="1:13" ht="48.6" customHeight="1" x14ac:dyDescent="0.4">
      <c r="A11" s="10"/>
      <c r="B11" s="124" t="s">
        <v>81</v>
      </c>
      <c r="C11" s="124"/>
      <c r="D11" s="124"/>
      <c r="E11" s="10"/>
      <c r="F11" s="10"/>
      <c r="G11" s="10"/>
      <c r="H11" s="10"/>
    </row>
    <row r="12" spans="1:13" ht="76.05" customHeight="1" x14ac:dyDescent="0.4">
      <c r="A12" s="10"/>
      <c r="B12" s="124" t="s">
        <v>89</v>
      </c>
      <c r="C12" s="124"/>
      <c r="D12" s="124"/>
      <c r="F12" s="10"/>
      <c r="G12" s="10"/>
      <c r="H12" s="10"/>
    </row>
    <row r="13" spans="1:13" ht="45" customHeight="1" x14ac:dyDescent="0.4">
      <c r="A13" s="10"/>
      <c r="B13" s="128" t="s">
        <v>74</v>
      </c>
      <c r="C13" s="128"/>
      <c r="D13" s="128"/>
      <c r="E13" s="10"/>
      <c r="F13" s="10"/>
      <c r="G13" s="10"/>
      <c r="H13" s="10"/>
    </row>
    <row r="14" spans="1:13" ht="16.5" customHeight="1" x14ac:dyDescent="0.4">
      <c r="A14" s="10"/>
      <c r="B14" s="14"/>
      <c r="C14" s="14"/>
      <c r="D14" s="14"/>
      <c r="E14" s="10"/>
      <c r="F14" s="10"/>
      <c r="G14" s="10"/>
      <c r="H14" s="10"/>
    </row>
    <row r="15" spans="1:13" ht="16.5" customHeight="1" x14ac:dyDescent="0.4">
      <c r="A15" s="10"/>
      <c r="B15" s="125" t="s">
        <v>2</v>
      </c>
      <c r="C15" s="126"/>
      <c r="D15" s="127"/>
      <c r="E15" s="10"/>
      <c r="F15" s="10"/>
      <c r="G15" s="10"/>
      <c r="H15" s="10"/>
    </row>
    <row r="16" spans="1:13" ht="17.399999999999999" thickBot="1" x14ac:dyDescent="0.45">
      <c r="A16" s="10"/>
      <c r="B16" s="12"/>
      <c r="C16" s="12"/>
      <c r="D16" s="12"/>
      <c r="E16" s="10"/>
      <c r="F16" s="10"/>
      <c r="G16" s="10"/>
      <c r="H16" s="10"/>
    </row>
    <row r="17" spans="1:8" ht="19.2" thickBot="1" x14ac:dyDescent="0.45">
      <c r="A17" s="10"/>
      <c r="B17" s="117"/>
      <c r="C17" s="118"/>
      <c r="D17" s="118"/>
      <c r="E17" s="10"/>
      <c r="F17" s="10"/>
      <c r="G17" s="10"/>
      <c r="H17" s="10"/>
    </row>
    <row r="18" spans="1:8" ht="16.8" x14ac:dyDescent="0.4">
      <c r="A18" s="10"/>
      <c r="B18" s="10"/>
      <c r="C18" s="10"/>
      <c r="D18" s="10"/>
      <c r="E18" s="10"/>
      <c r="F18" s="10"/>
      <c r="G18" s="10"/>
      <c r="H18" s="10"/>
    </row>
    <row r="19" spans="1:8" ht="16.8" hidden="1" x14ac:dyDescent="0.4">
      <c r="A19" s="10"/>
      <c r="B19" s="10"/>
      <c r="C19" s="10"/>
      <c r="D19" s="10"/>
      <c r="E19" s="10"/>
      <c r="F19" s="10"/>
      <c r="G19" s="10"/>
      <c r="H19" s="10"/>
    </row>
    <row r="20" spans="1:8" ht="16.8" hidden="1" x14ac:dyDescent="0.4">
      <c r="A20" s="10"/>
      <c r="B20" s="10"/>
      <c r="C20" s="10"/>
      <c r="D20" s="10"/>
      <c r="E20" s="10"/>
      <c r="F20" s="10"/>
      <c r="G20" s="10"/>
      <c r="H20" s="10"/>
    </row>
    <row r="21" spans="1:8" ht="16.8" hidden="1" x14ac:dyDescent="0.4">
      <c r="A21" s="10"/>
      <c r="B21" s="10"/>
      <c r="C21" s="10"/>
      <c r="D21" s="10"/>
      <c r="E21" s="10"/>
      <c r="F21" s="10"/>
      <c r="G21" s="10"/>
      <c r="H21" s="10"/>
    </row>
    <row r="22" spans="1:8" ht="16.8" hidden="1" x14ac:dyDescent="0.4">
      <c r="A22" s="10"/>
      <c r="B22" s="10"/>
      <c r="C22" s="10"/>
      <c r="D22" s="10"/>
      <c r="E22" s="10"/>
      <c r="F22" s="10"/>
      <c r="G22" s="10"/>
      <c r="H22" s="10"/>
    </row>
    <row r="23" spans="1:8" ht="16.8" hidden="1" x14ac:dyDescent="0.4">
      <c r="A23" s="10"/>
      <c r="B23" s="10"/>
      <c r="C23" s="10"/>
      <c r="D23" s="10"/>
      <c r="E23" s="10"/>
      <c r="F23" s="10"/>
      <c r="G23" s="10"/>
      <c r="H23" s="10"/>
    </row>
    <row r="24" spans="1:8" ht="16.8" hidden="1" x14ac:dyDescent="0.4">
      <c r="A24" s="10"/>
      <c r="B24" s="10"/>
      <c r="C24" s="10"/>
      <c r="D24" s="10"/>
      <c r="E24" s="10"/>
      <c r="F24" s="10"/>
      <c r="G24" s="10"/>
      <c r="H24" s="10"/>
    </row>
    <row r="25" spans="1:8" ht="16.8" hidden="1" x14ac:dyDescent="0.4">
      <c r="A25" s="10"/>
      <c r="B25" s="10"/>
      <c r="C25" s="10"/>
      <c r="D25" s="10"/>
      <c r="E25" s="10"/>
      <c r="F25" s="10"/>
      <c r="G25" s="10"/>
      <c r="H25" s="10"/>
    </row>
    <row r="26" spans="1:8" ht="16.8" hidden="1" x14ac:dyDescent="0.4">
      <c r="A26" s="10"/>
      <c r="B26" s="10"/>
      <c r="C26" s="10"/>
      <c r="D26" s="10"/>
      <c r="E26" s="10"/>
      <c r="F26" s="10"/>
      <c r="G26" s="10"/>
      <c r="H26" s="10"/>
    </row>
    <row r="27" spans="1:8" ht="16.8" hidden="1" x14ac:dyDescent="0.4">
      <c r="A27" s="10"/>
    </row>
    <row r="28" spans="1:8" ht="16.8" hidden="1" x14ac:dyDescent="0.4">
      <c r="A28" s="10"/>
    </row>
    <row r="29" spans="1:8" ht="16.8" hidden="1" x14ac:dyDescent="0.4">
      <c r="A29" s="10"/>
    </row>
  </sheetData>
  <sheetProtection sheet="1" objects="1" scenarios="1"/>
  <mergeCells count="10">
    <mergeCell ref="B17:D17"/>
    <mergeCell ref="B2:D2"/>
    <mergeCell ref="B3:D3"/>
    <mergeCell ref="B4:D4"/>
    <mergeCell ref="B12:D12"/>
    <mergeCell ref="B15:D15"/>
    <mergeCell ref="B11:D11"/>
    <mergeCell ref="B13:D13"/>
    <mergeCell ref="D5:D6"/>
    <mergeCell ref="B6:C6"/>
  </mergeCells>
  <hyperlinks>
    <hyperlink ref="C9" r:id="rId1" xr:uid="{60F8126B-D46E-4ABD-986C-B44783A3E7CD}"/>
    <hyperlink ref="C7" r:id="rId2" xr:uid="{300DED1D-4F06-434C-AD94-7F2F434D14E3}"/>
  </hyperlinks>
  <pageMargins left="0.7" right="0.7" top="0.75" bottom="0.75" header="0.3" footer="0.3"/>
  <pageSetup scale="77" fitToHeight="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64766-5483-41F9-BAE9-B4AA5C1DA5B3}">
  <sheetPr>
    <pageSetUpPr fitToPage="1"/>
  </sheetPr>
  <dimension ref="A1:T65"/>
  <sheetViews>
    <sheetView showGridLines="0" zoomScaleNormal="100" workbookViewId="0"/>
  </sheetViews>
  <sheetFormatPr defaultColWidth="0" defaultRowHeight="15.6" zeroHeight="1" x14ac:dyDescent="0.35"/>
  <cols>
    <col min="1" max="1" width="1.09765625" style="1" customWidth="1"/>
    <col min="2" max="2" width="27.09765625" style="1" customWidth="1"/>
    <col min="3" max="3" width="9.796875" style="1" customWidth="1"/>
    <col min="4" max="4" width="8.5" style="1" customWidth="1"/>
    <col min="5" max="5" width="1" style="1" customWidth="1"/>
    <col min="6" max="6" width="9" style="1" customWidth="1"/>
    <col min="7" max="7" width="10.796875" style="1" bestFit="1" customWidth="1"/>
    <col min="8" max="8" width="1.59765625" style="1" customWidth="1"/>
    <col min="9" max="9" width="9" style="1" customWidth="1"/>
    <col min="10" max="10" width="10.19921875" style="1" bestFit="1" customWidth="1"/>
    <col min="11" max="11" width="1.59765625" style="1" customWidth="1"/>
    <col min="12" max="12" width="9.19921875" style="1" customWidth="1"/>
    <col min="13" max="13" width="10.19921875" style="1" bestFit="1" customWidth="1"/>
    <col min="14" max="14" width="1.59765625" style="1" customWidth="1"/>
    <col min="15" max="15" width="9.09765625" style="1" bestFit="1" customWidth="1"/>
    <col min="16" max="16" width="11.296875" style="1" bestFit="1" customWidth="1"/>
    <col min="17" max="17" width="3.296875" style="1" customWidth="1"/>
    <col min="18" max="18" width="9" style="1" hidden="1" customWidth="1"/>
    <col min="19" max="19" width="10" style="1" hidden="1" customWidth="1"/>
    <col min="20" max="20" width="0" style="1" hidden="1" customWidth="1"/>
    <col min="21" max="16384" width="9" style="1" hidden="1"/>
  </cols>
  <sheetData>
    <row r="1" spans="1:20" ht="8.25" customHeight="1" x14ac:dyDescent="0.35">
      <c r="B1" s="4"/>
      <c r="C1"/>
      <c r="D1"/>
      <c r="E1"/>
      <c r="F1"/>
      <c r="G1"/>
      <c r="H1"/>
      <c r="I1"/>
      <c r="J1"/>
      <c r="K1"/>
      <c r="L1"/>
      <c r="M1"/>
      <c r="N1"/>
      <c r="O1"/>
      <c r="P1"/>
    </row>
    <row r="2" spans="1:20" ht="18.75" customHeight="1" thickBot="1" x14ac:dyDescent="0.45">
      <c r="B2" s="133" t="s">
        <v>94</v>
      </c>
      <c r="C2" s="133"/>
      <c r="D2" s="133"/>
      <c r="E2" s="133"/>
      <c r="F2" s="133"/>
      <c r="G2" s="133"/>
      <c r="H2" s="133"/>
      <c r="I2" s="133"/>
      <c r="J2" s="133"/>
      <c r="K2" s="133"/>
      <c r="L2" s="133"/>
      <c r="M2" s="133"/>
      <c r="N2" s="133"/>
      <c r="O2" s="133"/>
      <c r="P2" s="133"/>
    </row>
    <row r="3" spans="1:20" ht="32.549999999999997" customHeight="1" x14ac:dyDescent="0.35">
      <c r="B3" s="5"/>
      <c r="C3" s="5"/>
      <c r="D3" s="5"/>
      <c r="E3" s="5"/>
      <c r="F3" s="134" t="s">
        <v>95</v>
      </c>
      <c r="G3" s="134"/>
      <c r="H3" s="29"/>
      <c r="I3" s="134" t="s">
        <v>96</v>
      </c>
      <c r="J3" s="134"/>
      <c r="K3" s="29"/>
      <c r="L3" s="134" t="s">
        <v>97</v>
      </c>
      <c r="M3" s="134"/>
      <c r="N3" s="29"/>
      <c r="O3" s="134" t="s">
        <v>98</v>
      </c>
      <c r="P3" s="134"/>
      <c r="T3" s="3"/>
    </row>
    <row r="4" spans="1:20" ht="35.1" customHeight="1" x14ac:dyDescent="0.4">
      <c r="A4" s="26"/>
      <c r="B4" s="27" t="s">
        <v>54</v>
      </c>
      <c r="C4" s="9" t="s">
        <v>4</v>
      </c>
      <c r="D4" s="30" t="s">
        <v>5</v>
      </c>
      <c r="E4" s="31"/>
      <c r="F4" s="30" t="s">
        <v>6</v>
      </c>
      <c r="G4" s="30" t="s">
        <v>7</v>
      </c>
      <c r="H4" s="32"/>
      <c r="I4" s="30" t="s">
        <v>6</v>
      </c>
      <c r="J4" s="30" t="s">
        <v>8</v>
      </c>
      <c r="K4" s="32"/>
      <c r="L4" s="30" t="s">
        <v>6</v>
      </c>
      <c r="M4" s="30" t="s">
        <v>7</v>
      </c>
      <c r="N4" s="33"/>
      <c r="O4" s="30" t="s">
        <v>6</v>
      </c>
      <c r="P4" s="30" t="s">
        <v>7</v>
      </c>
    </row>
    <row r="5" spans="1:20" ht="16.5" customHeight="1" x14ac:dyDescent="0.4">
      <c r="A5" s="26"/>
      <c r="B5" s="15" t="s">
        <v>9</v>
      </c>
      <c r="C5" t="s">
        <v>10</v>
      </c>
      <c r="D5" s="51">
        <v>2.89</v>
      </c>
      <c r="E5" s="15"/>
      <c r="F5" s="66">
        <v>0</v>
      </c>
      <c r="G5" s="34">
        <f>F5*D5</f>
        <v>0</v>
      </c>
      <c r="H5" s="15"/>
      <c r="I5" s="66">
        <v>500</v>
      </c>
      <c r="J5" s="34">
        <f>I5*D5</f>
        <v>1445</v>
      </c>
      <c r="K5" s="15"/>
      <c r="L5" s="66">
        <v>1000</v>
      </c>
      <c r="M5" s="34">
        <f>L5*D5</f>
        <v>2890</v>
      </c>
      <c r="N5" s="15"/>
      <c r="O5" s="66">
        <v>4000</v>
      </c>
      <c r="P5" s="34">
        <f>O5*D5</f>
        <v>11560</v>
      </c>
    </row>
    <row r="6" spans="1:20" ht="16.5" customHeight="1" x14ac:dyDescent="0.4">
      <c r="A6" s="26"/>
      <c r="B6" s="28" t="s">
        <v>55</v>
      </c>
      <c r="C6"/>
      <c r="D6" s="15"/>
      <c r="E6" s="15"/>
      <c r="F6" s="15"/>
      <c r="G6" s="16">
        <f>G5</f>
        <v>0</v>
      </c>
      <c r="H6" s="15"/>
      <c r="I6" s="15"/>
      <c r="J6" s="16">
        <f>J5</f>
        <v>1445</v>
      </c>
      <c r="K6" s="15"/>
      <c r="L6" s="15"/>
      <c r="M6" s="16">
        <f>M5</f>
        <v>2890</v>
      </c>
      <c r="N6" s="15"/>
      <c r="O6" s="15"/>
      <c r="P6" s="16">
        <f>P5</f>
        <v>11560</v>
      </c>
    </row>
    <row r="7" spans="1:20" ht="8.25" customHeight="1" x14ac:dyDescent="0.4">
      <c r="A7" s="26"/>
      <c r="B7" s="15"/>
      <c r="C7"/>
      <c r="D7" s="15"/>
      <c r="E7" s="15"/>
      <c r="F7" s="15"/>
      <c r="G7" s="15"/>
      <c r="H7" s="15"/>
      <c r="I7" s="15"/>
      <c r="J7" s="15"/>
      <c r="K7" s="15"/>
      <c r="L7" s="15"/>
      <c r="M7" s="15"/>
      <c r="N7" s="15"/>
      <c r="O7" s="15"/>
      <c r="P7" s="15"/>
    </row>
    <row r="8" spans="1:20" ht="35.1" customHeight="1" x14ac:dyDescent="0.4">
      <c r="A8" s="26"/>
      <c r="B8" s="27" t="s">
        <v>56</v>
      </c>
      <c r="C8" s="9" t="s">
        <v>4</v>
      </c>
      <c r="D8" s="30" t="s">
        <v>5</v>
      </c>
      <c r="E8" s="31"/>
      <c r="F8" s="30" t="s">
        <v>6</v>
      </c>
      <c r="G8" s="30" t="s">
        <v>7</v>
      </c>
      <c r="H8" s="32"/>
      <c r="I8" s="30" t="s">
        <v>6</v>
      </c>
      <c r="J8" s="30" t="s">
        <v>8</v>
      </c>
      <c r="K8" s="32"/>
      <c r="L8" s="30" t="s">
        <v>6</v>
      </c>
      <c r="M8" s="30" t="s">
        <v>7</v>
      </c>
      <c r="N8" s="33"/>
      <c r="O8" s="30" t="s">
        <v>6</v>
      </c>
      <c r="P8" s="30" t="s">
        <v>7</v>
      </c>
    </row>
    <row r="9" spans="1:20" ht="17.399999999999999" x14ac:dyDescent="0.4">
      <c r="A9" s="26"/>
      <c r="B9" s="15" t="s">
        <v>11</v>
      </c>
      <c r="C9" s="6" t="s">
        <v>12</v>
      </c>
      <c r="D9" s="51">
        <v>0.6</v>
      </c>
      <c r="E9" s="52"/>
      <c r="F9" s="53">
        <v>13000</v>
      </c>
      <c r="G9" s="16">
        <f>F9*D9</f>
        <v>7800</v>
      </c>
      <c r="H9" s="15"/>
      <c r="I9" s="53">
        <v>0</v>
      </c>
      <c r="J9" s="16">
        <f>I9*D9</f>
        <v>0</v>
      </c>
      <c r="K9" s="15"/>
      <c r="L9" s="66">
        <v>0</v>
      </c>
      <c r="M9" s="16">
        <f>L9*D9</f>
        <v>0</v>
      </c>
      <c r="N9" s="15"/>
      <c r="O9" s="53">
        <v>0</v>
      </c>
      <c r="P9" s="16">
        <f>O9*D9</f>
        <v>0</v>
      </c>
    </row>
    <row r="10" spans="1:20" ht="17.399999999999999" x14ac:dyDescent="0.4">
      <c r="A10" s="26"/>
      <c r="B10" s="15" t="s">
        <v>13</v>
      </c>
      <c r="C10" s="6"/>
      <c r="D10" s="54"/>
      <c r="E10" s="52"/>
      <c r="F10" s="55"/>
      <c r="G10" s="16"/>
      <c r="H10" s="15"/>
      <c r="I10" s="55"/>
      <c r="J10" s="16"/>
      <c r="K10" s="15"/>
      <c r="L10" s="61"/>
      <c r="M10" s="16"/>
      <c r="N10" s="15"/>
      <c r="O10" s="55"/>
      <c r="P10" s="16"/>
    </row>
    <row r="11" spans="1:20" ht="17.399999999999999" x14ac:dyDescent="0.4">
      <c r="A11" s="26"/>
      <c r="B11" s="15" t="s">
        <v>14</v>
      </c>
      <c r="C11" s="6" t="s">
        <v>15</v>
      </c>
      <c r="D11" s="51">
        <v>15</v>
      </c>
      <c r="E11" s="52"/>
      <c r="F11" s="53">
        <v>1</v>
      </c>
      <c r="G11" s="16">
        <f>F11*D11</f>
        <v>15</v>
      </c>
      <c r="H11" s="15"/>
      <c r="I11" s="53">
        <v>0</v>
      </c>
      <c r="J11" s="16">
        <f>I11*D11</f>
        <v>0</v>
      </c>
      <c r="K11" s="15"/>
      <c r="L11" s="66">
        <v>0</v>
      </c>
      <c r="M11" s="16">
        <f>L11*D11</f>
        <v>0</v>
      </c>
      <c r="N11" s="15"/>
      <c r="O11" s="53">
        <v>0</v>
      </c>
      <c r="P11" s="16">
        <f>O11*D11</f>
        <v>0</v>
      </c>
    </row>
    <row r="12" spans="1:20" ht="17.399999999999999" x14ac:dyDescent="0.4">
      <c r="A12" s="26"/>
      <c r="B12" s="15" t="s">
        <v>16</v>
      </c>
      <c r="C12" s="6" t="s">
        <v>17</v>
      </c>
      <c r="D12" s="51">
        <v>31.4</v>
      </c>
      <c r="E12" s="52"/>
      <c r="F12" s="53">
        <v>1</v>
      </c>
      <c r="G12" s="16">
        <f>F12*D12</f>
        <v>31.4</v>
      </c>
      <c r="H12" s="15"/>
      <c r="I12" s="53">
        <v>0</v>
      </c>
      <c r="J12" s="16">
        <f>I12*D12</f>
        <v>0</v>
      </c>
      <c r="K12" s="15"/>
      <c r="L12" s="66">
        <v>0</v>
      </c>
      <c r="M12" s="16">
        <f>L12*D12</f>
        <v>0</v>
      </c>
      <c r="N12" s="15"/>
      <c r="O12" s="53">
        <v>0</v>
      </c>
      <c r="P12" s="16">
        <f>O12*D12</f>
        <v>0</v>
      </c>
    </row>
    <row r="13" spans="1:20" ht="17.399999999999999" x14ac:dyDescent="0.4">
      <c r="A13" s="26"/>
      <c r="B13" s="15" t="s">
        <v>18</v>
      </c>
      <c r="C13" s="6" t="s">
        <v>19</v>
      </c>
      <c r="D13" s="51">
        <v>24.8</v>
      </c>
      <c r="E13" s="52"/>
      <c r="F13" s="53">
        <v>2</v>
      </c>
      <c r="G13" s="16">
        <f>F13*D13</f>
        <v>49.6</v>
      </c>
      <c r="H13" s="15"/>
      <c r="I13" s="53">
        <v>0</v>
      </c>
      <c r="J13" s="16">
        <f>I13*D13</f>
        <v>0</v>
      </c>
      <c r="K13" s="15"/>
      <c r="L13" s="66">
        <v>0</v>
      </c>
      <c r="M13" s="16">
        <f>L13*D13</f>
        <v>0</v>
      </c>
      <c r="N13" s="15"/>
      <c r="O13" s="53">
        <v>0</v>
      </c>
      <c r="P13" s="16">
        <f>O13*D13</f>
        <v>0</v>
      </c>
    </row>
    <row r="14" spans="1:20" ht="17.399999999999999" x14ac:dyDescent="0.4">
      <c r="A14" s="26"/>
      <c r="B14" s="15" t="s">
        <v>20</v>
      </c>
      <c r="C14" s="6" t="s">
        <v>17</v>
      </c>
      <c r="D14" s="51">
        <v>17.940000000000001</v>
      </c>
      <c r="E14" s="52"/>
      <c r="F14" s="53">
        <v>1</v>
      </c>
      <c r="G14" s="16">
        <f>F14*D14</f>
        <v>17.940000000000001</v>
      </c>
      <c r="H14" s="15"/>
      <c r="I14" s="53">
        <v>0</v>
      </c>
      <c r="J14" s="16">
        <f>I14*D14</f>
        <v>0</v>
      </c>
      <c r="K14" s="15"/>
      <c r="L14" s="66">
        <v>0</v>
      </c>
      <c r="M14" s="16">
        <f>L14*D14</f>
        <v>0</v>
      </c>
      <c r="N14" s="15"/>
      <c r="O14" s="53">
        <v>0</v>
      </c>
      <c r="P14" s="16">
        <f>O14*D14</f>
        <v>0</v>
      </c>
    </row>
    <row r="15" spans="1:20" ht="17.399999999999999" x14ac:dyDescent="0.4">
      <c r="A15" s="26"/>
      <c r="B15" s="15" t="s">
        <v>21</v>
      </c>
      <c r="C15" s="6" t="s">
        <v>17</v>
      </c>
      <c r="D15" s="51">
        <v>10.220000000000001</v>
      </c>
      <c r="E15" s="52"/>
      <c r="F15" s="53">
        <v>1</v>
      </c>
      <c r="G15" s="16">
        <f>F15*D15</f>
        <v>10.220000000000001</v>
      </c>
      <c r="H15" s="15"/>
      <c r="I15" s="53">
        <v>1</v>
      </c>
      <c r="J15" s="16">
        <f>I15*D15</f>
        <v>10.220000000000001</v>
      </c>
      <c r="K15" s="15"/>
      <c r="L15" s="66">
        <v>1</v>
      </c>
      <c r="M15" s="16">
        <f>L15*D15</f>
        <v>10.220000000000001</v>
      </c>
      <c r="N15" s="15"/>
      <c r="O15" s="53">
        <v>1</v>
      </c>
      <c r="P15" s="16">
        <f>O15*D15</f>
        <v>10.220000000000001</v>
      </c>
    </row>
    <row r="16" spans="1:20" ht="17.399999999999999" x14ac:dyDescent="0.4">
      <c r="A16" s="26"/>
      <c r="B16" s="15" t="s">
        <v>22</v>
      </c>
      <c r="C16" s="6"/>
      <c r="D16" s="54"/>
      <c r="E16" s="52"/>
      <c r="F16" s="55"/>
      <c r="G16" s="16"/>
      <c r="H16" s="15"/>
      <c r="I16" s="55"/>
      <c r="J16" s="15"/>
      <c r="K16" s="15"/>
      <c r="L16" s="61"/>
      <c r="M16" s="16"/>
      <c r="N16" s="15"/>
      <c r="O16" s="55"/>
      <c r="P16" s="16"/>
    </row>
    <row r="17" spans="1:19" ht="17.399999999999999" x14ac:dyDescent="0.4">
      <c r="A17" s="26"/>
      <c r="B17" s="15" t="s">
        <v>23</v>
      </c>
      <c r="C17" s="6" t="s">
        <v>24</v>
      </c>
      <c r="D17" s="51">
        <v>30</v>
      </c>
      <c r="E17" s="52"/>
      <c r="F17" s="53">
        <v>0.5</v>
      </c>
      <c r="G17" s="16">
        <f t="shared" ref="G17:G22" si="0">F17*D17</f>
        <v>15</v>
      </c>
      <c r="H17" s="15"/>
      <c r="I17" s="53">
        <v>0</v>
      </c>
      <c r="J17" s="16">
        <f>I17*D17</f>
        <v>0</v>
      </c>
      <c r="K17" s="15"/>
      <c r="L17" s="66">
        <v>0</v>
      </c>
      <c r="M17" s="16">
        <f>L17*D17</f>
        <v>0</v>
      </c>
      <c r="N17" s="15"/>
      <c r="O17" s="53">
        <v>0</v>
      </c>
      <c r="P17" s="16">
        <f>O17*D17</f>
        <v>0</v>
      </c>
    </row>
    <row r="18" spans="1:19" ht="17.399999999999999" x14ac:dyDescent="0.4">
      <c r="A18" s="26"/>
      <c r="B18" s="15" t="s">
        <v>25</v>
      </c>
      <c r="C18" s="6" t="s">
        <v>26</v>
      </c>
      <c r="D18" s="51">
        <v>0.45</v>
      </c>
      <c r="E18" s="52"/>
      <c r="F18" s="53">
        <v>50</v>
      </c>
      <c r="G18" s="16">
        <f t="shared" si="0"/>
        <v>22.5</v>
      </c>
      <c r="H18" s="15"/>
      <c r="I18" s="53">
        <v>50</v>
      </c>
      <c r="J18" s="16">
        <f>I18*D18</f>
        <v>22.5</v>
      </c>
      <c r="K18" s="15"/>
      <c r="L18" s="66">
        <v>50</v>
      </c>
      <c r="M18" s="16">
        <f>L18*D18</f>
        <v>22.5</v>
      </c>
      <c r="N18" s="15"/>
      <c r="O18" s="53">
        <v>50</v>
      </c>
      <c r="P18" s="16">
        <f>O18*D18</f>
        <v>22.5</v>
      </c>
    </row>
    <row r="19" spans="1:19" ht="17.399999999999999" x14ac:dyDescent="0.4">
      <c r="A19" s="26"/>
      <c r="B19" s="15" t="s">
        <v>27</v>
      </c>
      <c r="C19" s="6" t="s">
        <v>26</v>
      </c>
      <c r="D19" s="51">
        <v>0.55000000000000004</v>
      </c>
      <c r="E19" s="52"/>
      <c r="F19" s="53">
        <v>75</v>
      </c>
      <c r="G19" s="16">
        <f t="shared" si="0"/>
        <v>41.25</v>
      </c>
      <c r="H19" s="15"/>
      <c r="I19" s="53">
        <v>25</v>
      </c>
      <c r="J19" s="16">
        <f>I19*D19</f>
        <v>13.750000000000002</v>
      </c>
      <c r="K19" s="15"/>
      <c r="L19" s="66">
        <v>25</v>
      </c>
      <c r="M19" s="16">
        <f>L19*D19</f>
        <v>13.750000000000002</v>
      </c>
      <c r="N19" s="15"/>
      <c r="O19" s="53">
        <v>25</v>
      </c>
      <c r="P19" s="16">
        <f>O19*D19</f>
        <v>13.750000000000002</v>
      </c>
    </row>
    <row r="20" spans="1:19" ht="17.399999999999999" x14ac:dyDescent="0.4">
      <c r="A20" s="26"/>
      <c r="B20" s="15" t="s">
        <v>28</v>
      </c>
      <c r="C20" s="6" t="s">
        <v>29</v>
      </c>
      <c r="D20" s="51">
        <v>0.38</v>
      </c>
      <c r="E20" s="52"/>
      <c r="F20" s="53">
        <v>150</v>
      </c>
      <c r="G20" s="16">
        <f t="shared" si="0"/>
        <v>57</v>
      </c>
      <c r="H20" s="15"/>
      <c r="I20" s="53">
        <v>75</v>
      </c>
      <c r="J20" s="16">
        <f>I20*D20</f>
        <v>28.5</v>
      </c>
      <c r="K20" s="15"/>
      <c r="L20" s="66">
        <v>75</v>
      </c>
      <c r="M20" s="16">
        <f>L20*D20</f>
        <v>28.5</v>
      </c>
      <c r="N20" s="15"/>
      <c r="O20" s="53">
        <v>75</v>
      </c>
      <c r="P20" s="16">
        <f>O20*D20</f>
        <v>28.5</v>
      </c>
    </row>
    <row r="21" spans="1:19" ht="17.399999999999999" x14ac:dyDescent="0.4">
      <c r="A21" s="26"/>
      <c r="B21" s="15" t="s">
        <v>30</v>
      </c>
      <c r="C21" s="6" t="s">
        <v>17</v>
      </c>
      <c r="D21" s="54"/>
      <c r="E21" s="52"/>
      <c r="F21" s="55"/>
      <c r="G21" s="60">
        <f t="shared" si="0"/>
        <v>0</v>
      </c>
      <c r="H21" s="15"/>
      <c r="I21" s="55"/>
      <c r="J21" s="60">
        <v>92.86</v>
      </c>
      <c r="K21" s="15"/>
      <c r="L21" s="61"/>
      <c r="M21" s="60">
        <v>92.86</v>
      </c>
      <c r="N21" s="15"/>
      <c r="O21" s="55"/>
      <c r="P21" s="60">
        <v>92.86</v>
      </c>
    </row>
    <row r="22" spans="1:19" ht="17.399999999999999" x14ac:dyDescent="0.4">
      <c r="A22" s="26"/>
      <c r="B22" s="15" t="s">
        <v>31</v>
      </c>
      <c r="C22" s="6" t="s">
        <v>17</v>
      </c>
      <c r="D22" s="54"/>
      <c r="E22" s="52"/>
      <c r="F22" s="55"/>
      <c r="G22" s="60">
        <f t="shared" si="0"/>
        <v>0</v>
      </c>
      <c r="H22" s="15"/>
      <c r="I22" s="55"/>
      <c r="J22" s="60">
        <v>62.93</v>
      </c>
      <c r="K22" s="15"/>
      <c r="L22" s="61"/>
      <c r="M22" s="60">
        <v>41.95</v>
      </c>
      <c r="N22" s="15"/>
      <c r="O22" s="55"/>
      <c r="P22" s="60">
        <v>62.93</v>
      </c>
    </row>
    <row r="23" spans="1:19" ht="17.399999999999999" x14ac:dyDescent="0.4">
      <c r="A23" s="26"/>
      <c r="B23" s="15" t="s">
        <v>32</v>
      </c>
      <c r="C23" s="6" t="s">
        <v>17</v>
      </c>
      <c r="D23" s="54"/>
      <c r="E23" s="52"/>
      <c r="F23" s="55"/>
      <c r="G23" s="60">
        <v>22.78</v>
      </c>
      <c r="H23" s="15"/>
      <c r="I23" s="55"/>
      <c r="J23" s="60">
        <v>92</v>
      </c>
      <c r="K23" s="15"/>
      <c r="L23" s="61"/>
      <c r="M23" s="60">
        <v>92</v>
      </c>
      <c r="N23" s="15"/>
      <c r="O23" s="55"/>
      <c r="P23" s="60">
        <v>92</v>
      </c>
    </row>
    <row r="24" spans="1:19" ht="17.399999999999999" x14ac:dyDescent="0.4">
      <c r="A24" s="26"/>
      <c r="B24" s="15" t="s">
        <v>33</v>
      </c>
      <c r="C24" s="6" t="s">
        <v>34</v>
      </c>
      <c r="D24" s="51">
        <v>0.03</v>
      </c>
      <c r="E24" s="52"/>
      <c r="F24" s="53">
        <v>7920</v>
      </c>
      <c r="G24" s="16">
        <f>F24*D24</f>
        <v>237.6</v>
      </c>
      <c r="H24" s="15"/>
      <c r="I24" s="53">
        <v>0</v>
      </c>
      <c r="J24" s="16">
        <f>I24*D24</f>
        <v>0</v>
      </c>
      <c r="K24" s="15"/>
      <c r="L24" s="66">
        <v>0</v>
      </c>
      <c r="M24" s="16">
        <f>L24*D24</f>
        <v>0</v>
      </c>
      <c r="N24" s="15"/>
      <c r="O24" s="53">
        <v>0</v>
      </c>
      <c r="P24" s="16">
        <f>O24*D24</f>
        <v>0</v>
      </c>
    </row>
    <row r="25" spans="1:19" ht="17.399999999999999" x14ac:dyDescent="0.4">
      <c r="A25" s="26"/>
      <c r="B25" s="15" t="s">
        <v>87</v>
      </c>
      <c r="C25" s="6"/>
      <c r="D25" s="54"/>
      <c r="E25" s="52"/>
      <c r="F25" s="55"/>
      <c r="G25" s="16"/>
      <c r="H25" s="15"/>
      <c r="I25" s="55"/>
      <c r="J25" s="15"/>
      <c r="K25" s="15"/>
      <c r="L25" s="61"/>
      <c r="M25" s="15"/>
      <c r="N25" s="15"/>
      <c r="O25" s="55"/>
      <c r="P25" s="15"/>
    </row>
    <row r="26" spans="1:19" ht="17.399999999999999" x14ac:dyDescent="0.4">
      <c r="A26" s="26"/>
      <c r="B26" s="15" t="s">
        <v>35</v>
      </c>
      <c r="C26" s="6" t="s">
        <v>12</v>
      </c>
      <c r="D26" s="51">
        <v>4.25</v>
      </c>
      <c r="E26" s="52"/>
      <c r="F26" s="53">
        <f>F5*16/12</f>
        <v>0</v>
      </c>
      <c r="G26" s="16">
        <f>F26*D26</f>
        <v>0</v>
      </c>
      <c r="H26" s="15"/>
      <c r="I26" s="53">
        <v>17</v>
      </c>
      <c r="J26" s="16">
        <f>I26*D26</f>
        <v>72.25</v>
      </c>
      <c r="K26" s="15"/>
      <c r="L26" s="66">
        <v>34</v>
      </c>
      <c r="M26" s="16">
        <f>L26*D26</f>
        <v>144.5</v>
      </c>
      <c r="N26" s="15"/>
      <c r="O26" s="53">
        <v>134</v>
      </c>
      <c r="P26" s="16">
        <f>O26*D26</f>
        <v>569.5</v>
      </c>
      <c r="R26" s="2"/>
      <c r="S26" s="2"/>
    </row>
    <row r="27" spans="1:19" ht="17.399999999999999" x14ac:dyDescent="0.4">
      <c r="A27" s="26"/>
      <c r="B27" s="15" t="s">
        <v>36</v>
      </c>
      <c r="C27" s="7">
        <v>100</v>
      </c>
      <c r="D27" s="51">
        <v>1.67</v>
      </c>
      <c r="E27" s="56"/>
      <c r="F27" s="53">
        <f>F26/12</f>
        <v>0</v>
      </c>
      <c r="G27" s="16">
        <f>F27*D27</f>
        <v>0</v>
      </c>
      <c r="H27" s="15"/>
      <c r="I27" s="53">
        <v>5</v>
      </c>
      <c r="J27" s="16">
        <f>I27*D27</f>
        <v>8.35</v>
      </c>
      <c r="K27" s="15"/>
      <c r="L27" s="66">
        <v>10</v>
      </c>
      <c r="M27" s="16">
        <f>L27*D27</f>
        <v>16.7</v>
      </c>
      <c r="N27" s="15"/>
      <c r="O27" s="53">
        <v>40</v>
      </c>
      <c r="P27" s="16">
        <f>O27*D27</f>
        <v>66.8</v>
      </c>
    </row>
    <row r="28" spans="1:19" ht="17.399999999999999" x14ac:dyDescent="0.4">
      <c r="A28" s="26"/>
      <c r="B28" s="15" t="s">
        <v>37</v>
      </c>
      <c r="C28" s="8" t="s">
        <v>86</v>
      </c>
      <c r="D28" s="57">
        <v>0.15</v>
      </c>
      <c r="E28" s="58"/>
      <c r="F28" s="55">
        <f>G6</f>
        <v>0</v>
      </c>
      <c r="G28" s="16">
        <f>F28*D28</f>
        <v>0</v>
      </c>
      <c r="H28" s="15"/>
      <c r="I28" s="36">
        <f>J6</f>
        <v>1445</v>
      </c>
      <c r="J28" s="16">
        <f>I28*D28</f>
        <v>216.75</v>
      </c>
      <c r="K28" s="15"/>
      <c r="L28" s="37">
        <f>M6</f>
        <v>2890</v>
      </c>
      <c r="M28" s="16">
        <f>L28*D28</f>
        <v>433.5</v>
      </c>
      <c r="N28" s="15"/>
      <c r="O28" s="36">
        <f>P6</f>
        <v>11560</v>
      </c>
      <c r="P28" s="16">
        <f>O28*D28</f>
        <v>1734</v>
      </c>
    </row>
    <row r="29" spans="1:19" ht="17.399999999999999" x14ac:dyDescent="0.4">
      <c r="A29" s="26"/>
      <c r="B29" s="15" t="s">
        <v>38</v>
      </c>
      <c r="C29" s="6"/>
      <c r="D29" s="52"/>
      <c r="E29" s="52"/>
      <c r="F29" s="55"/>
      <c r="G29" s="16"/>
      <c r="H29" s="15"/>
      <c r="I29" s="36"/>
      <c r="J29" s="15"/>
      <c r="K29" s="15"/>
      <c r="L29" s="37"/>
      <c r="M29" s="15"/>
      <c r="N29" s="15"/>
      <c r="O29" s="36"/>
      <c r="P29" s="15"/>
    </row>
    <row r="30" spans="1:19" ht="17.399999999999999" x14ac:dyDescent="0.4">
      <c r="A30" s="26"/>
      <c r="B30" s="15" t="s">
        <v>39</v>
      </c>
      <c r="C30" s="6" t="s">
        <v>40</v>
      </c>
      <c r="D30" s="51">
        <v>18.86</v>
      </c>
      <c r="E30" s="52"/>
      <c r="F30" s="53">
        <v>1.75</v>
      </c>
      <c r="G30" s="16">
        <f>F30*D30</f>
        <v>33.004999999999995</v>
      </c>
      <c r="H30" s="15"/>
      <c r="I30" s="35">
        <v>2.2999999999999998</v>
      </c>
      <c r="J30" s="16">
        <f>I30*D30</f>
        <v>43.377999999999993</v>
      </c>
      <c r="K30" s="15"/>
      <c r="L30" s="66">
        <v>2.1</v>
      </c>
      <c r="M30" s="16">
        <f>L30*D30</f>
        <v>39.606000000000002</v>
      </c>
      <c r="N30" s="15"/>
      <c r="O30" s="53">
        <v>2</v>
      </c>
      <c r="P30" s="16">
        <f>O30*D30</f>
        <v>37.72</v>
      </c>
    </row>
    <row r="31" spans="1:19" ht="17.399999999999999" x14ac:dyDescent="0.4">
      <c r="A31" s="26"/>
      <c r="B31" s="15" t="s">
        <v>41</v>
      </c>
      <c r="C31" s="6" t="s">
        <v>40</v>
      </c>
      <c r="D31" s="51">
        <v>15.71</v>
      </c>
      <c r="E31" s="52"/>
      <c r="F31" s="53">
        <v>3.4</v>
      </c>
      <c r="G31" s="16">
        <f>F31*D31</f>
        <v>53.414000000000001</v>
      </c>
      <c r="H31" s="15"/>
      <c r="I31" s="35">
        <v>0</v>
      </c>
      <c r="J31" s="16">
        <f>I31*D31</f>
        <v>0</v>
      </c>
      <c r="K31" s="15"/>
      <c r="L31" s="66">
        <v>0</v>
      </c>
      <c r="M31" s="16">
        <f>L31*D31</f>
        <v>0</v>
      </c>
      <c r="N31" s="15"/>
      <c r="O31" s="53">
        <v>0</v>
      </c>
      <c r="P31" s="16">
        <f>O31*D31</f>
        <v>0</v>
      </c>
    </row>
    <row r="32" spans="1:19" ht="16.2" x14ac:dyDescent="0.35">
      <c r="B32" s="15" t="s">
        <v>42</v>
      </c>
      <c r="C32" s="6" t="s">
        <v>40</v>
      </c>
      <c r="D32" s="51">
        <v>15.71</v>
      </c>
      <c r="E32" s="52"/>
      <c r="F32" s="53">
        <v>0</v>
      </c>
      <c r="G32" s="16">
        <f>F32*D32</f>
        <v>0</v>
      </c>
      <c r="H32" s="15"/>
      <c r="I32" s="35">
        <v>3.4</v>
      </c>
      <c r="J32" s="16">
        <f>I32*D32</f>
        <v>53.414000000000001</v>
      </c>
      <c r="K32" s="15"/>
      <c r="L32" s="66">
        <v>3.4</v>
      </c>
      <c r="M32" s="16">
        <f>L32*D32</f>
        <v>53.414000000000001</v>
      </c>
      <c r="N32" s="15"/>
      <c r="O32" s="53">
        <v>3.4</v>
      </c>
      <c r="P32" s="16">
        <f>O32*D32</f>
        <v>53.414000000000001</v>
      </c>
    </row>
    <row r="33" spans="2:16" ht="16.2" x14ac:dyDescent="0.35">
      <c r="B33" s="15" t="s">
        <v>43</v>
      </c>
      <c r="C33" s="6" t="s">
        <v>40</v>
      </c>
      <c r="D33" s="51">
        <v>15.71</v>
      </c>
      <c r="E33" s="52"/>
      <c r="F33" s="53">
        <v>0</v>
      </c>
      <c r="G33" s="16">
        <f>F33*D33</f>
        <v>0</v>
      </c>
      <c r="H33" s="15"/>
      <c r="I33" s="35">
        <v>21</v>
      </c>
      <c r="J33" s="16">
        <f>I33*D33</f>
        <v>329.91</v>
      </c>
      <c r="K33" s="15"/>
      <c r="L33" s="66">
        <v>56</v>
      </c>
      <c r="M33" s="16">
        <f>L33*D33</f>
        <v>879.76</v>
      </c>
      <c r="N33" s="15"/>
      <c r="O33" s="53">
        <v>300</v>
      </c>
      <c r="P33" s="16">
        <f>O33*D33</f>
        <v>4713</v>
      </c>
    </row>
    <row r="34" spans="2:16" ht="16.2" x14ac:dyDescent="0.35">
      <c r="B34" s="15" t="s">
        <v>90</v>
      </c>
      <c r="C34" s="6" t="s">
        <v>44</v>
      </c>
      <c r="D34" s="51">
        <v>3.18</v>
      </c>
      <c r="E34" s="52"/>
      <c r="F34" s="53">
        <v>42</v>
      </c>
      <c r="G34" s="16">
        <f>F34*D34</f>
        <v>133.56</v>
      </c>
      <c r="H34" s="15"/>
      <c r="I34" s="35">
        <v>43</v>
      </c>
      <c r="J34" s="16">
        <f>I34*D34</f>
        <v>136.74</v>
      </c>
      <c r="K34" s="15"/>
      <c r="L34" s="66">
        <v>42.3</v>
      </c>
      <c r="M34" s="16">
        <f>L34*D34</f>
        <v>134.51400000000001</v>
      </c>
      <c r="N34" s="15"/>
      <c r="O34" s="53">
        <v>43</v>
      </c>
      <c r="P34" s="16">
        <f>O34*D34</f>
        <v>136.74</v>
      </c>
    </row>
    <row r="35" spans="2:16" ht="16.2" x14ac:dyDescent="0.35">
      <c r="B35" s="135" t="s">
        <v>88</v>
      </c>
      <c r="C35" s="135"/>
      <c r="D35" s="52"/>
      <c r="E35" s="52"/>
      <c r="F35" s="55"/>
      <c r="G35" s="16"/>
      <c r="H35" s="15"/>
      <c r="I35" s="36"/>
      <c r="J35" s="16"/>
      <c r="K35" s="15"/>
      <c r="L35" s="37"/>
      <c r="M35" s="16"/>
      <c r="N35" s="15"/>
      <c r="O35" s="36"/>
      <c r="P35" s="16"/>
    </row>
    <row r="36" spans="2:16" ht="16.2" x14ac:dyDescent="0.35">
      <c r="B36" s="15" t="s">
        <v>45</v>
      </c>
      <c r="C36" s="6" t="s">
        <v>17</v>
      </c>
      <c r="D36" s="52"/>
      <c r="E36" s="52"/>
      <c r="F36" s="55"/>
      <c r="G36" s="60">
        <v>32</v>
      </c>
      <c r="H36" s="52"/>
      <c r="I36" s="55"/>
      <c r="J36" s="60">
        <v>32.68</v>
      </c>
      <c r="K36" s="52"/>
      <c r="L36" s="61"/>
      <c r="M36" s="60">
        <v>33.340000000000003</v>
      </c>
      <c r="N36" s="52"/>
      <c r="O36" s="55"/>
      <c r="P36" s="60">
        <v>34.07</v>
      </c>
    </row>
    <row r="37" spans="2:16" ht="16.5" customHeight="1" x14ac:dyDescent="0.35">
      <c r="B37" s="15" t="s">
        <v>46</v>
      </c>
      <c r="C37" s="6" t="s">
        <v>17</v>
      </c>
      <c r="D37" s="52"/>
      <c r="E37" s="52"/>
      <c r="F37" s="55"/>
      <c r="G37" s="60">
        <v>68.41</v>
      </c>
      <c r="H37" s="52"/>
      <c r="I37" s="55"/>
      <c r="J37" s="60">
        <v>69.86</v>
      </c>
      <c r="K37" s="52"/>
      <c r="L37" s="61"/>
      <c r="M37" s="60">
        <v>71.260000000000005</v>
      </c>
      <c r="N37" s="52"/>
      <c r="O37" s="55"/>
      <c r="P37" s="60">
        <v>72.83</v>
      </c>
    </row>
    <row r="38" spans="2:16" ht="16.5" customHeight="1" x14ac:dyDescent="0.35">
      <c r="B38" s="17" t="s">
        <v>91</v>
      </c>
      <c r="C38" s="6" t="s">
        <v>47</v>
      </c>
      <c r="D38" s="59">
        <v>7.7499999999999999E-2</v>
      </c>
      <c r="E38" s="52"/>
      <c r="F38" s="36"/>
      <c r="G38" s="34">
        <f>SUM(G9:G33)*D38*6/12</f>
        <v>325.75997374999997</v>
      </c>
      <c r="H38" s="15"/>
      <c r="I38" s="36"/>
      <c r="J38" s="34">
        <f>(SUM(J9:J33)-J26-J27+G45)*D38*6/12</f>
        <v>402.2389877328124</v>
      </c>
      <c r="K38" s="15"/>
      <c r="L38" s="37"/>
      <c r="M38" s="34">
        <f>(SUM(M9:M33)-M26-M27)*D38*6/12</f>
        <v>66.187325000000001</v>
      </c>
      <c r="N38" s="15"/>
      <c r="O38" s="36"/>
      <c r="P38" s="34">
        <f>(SUM(P9:P33)-P26-P27)*D38*6/12</f>
        <v>265.85964249999995</v>
      </c>
    </row>
    <row r="39" spans="2:16" ht="16.2" x14ac:dyDescent="0.35">
      <c r="B39" s="28" t="s">
        <v>57</v>
      </c>
      <c r="C39" s="6"/>
      <c r="D39" s="15"/>
      <c r="E39" s="15"/>
      <c r="F39" s="62"/>
      <c r="G39" s="16">
        <f>SUM(G9:G38)</f>
        <v>8966.4389737499987</v>
      </c>
      <c r="H39" s="16"/>
      <c r="I39" s="16"/>
      <c r="J39" s="16">
        <f t="shared" ref="J39:P39" si="1">SUM(J9:J38)</f>
        <v>1688.3309877328124</v>
      </c>
      <c r="K39" s="16"/>
      <c r="L39" s="16"/>
      <c r="M39" s="16">
        <f t="shared" si="1"/>
        <v>2174.5613249999997</v>
      </c>
      <c r="N39" s="16"/>
      <c r="O39" s="36"/>
      <c r="P39" s="16">
        <f t="shared" si="1"/>
        <v>8006.6936424999985</v>
      </c>
    </row>
    <row r="40" spans="2:16" ht="35.1" customHeight="1" x14ac:dyDescent="0.35">
      <c r="B40" s="27" t="s">
        <v>58</v>
      </c>
      <c r="C40" s="9" t="s">
        <v>4</v>
      </c>
      <c r="D40" s="30"/>
      <c r="E40" s="31"/>
      <c r="F40" s="30"/>
      <c r="G40" s="30" t="s">
        <v>7</v>
      </c>
      <c r="H40" s="32"/>
      <c r="I40" s="30"/>
      <c r="J40" s="30" t="s">
        <v>8</v>
      </c>
      <c r="K40" s="32"/>
      <c r="L40" s="30"/>
      <c r="M40" s="30" t="s">
        <v>7</v>
      </c>
      <c r="N40" s="33"/>
      <c r="O40" s="30"/>
      <c r="P40" s="30" t="s">
        <v>7</v>
      </c>
    </row>
    <row r="41" spans="2:16" ht="16.2" x14ac:dyDescent="0.35">
      <c r="B41" s="15" t="s">
        <v>48</v>
      </c>
      <c r="C41" s="6" t="s">
        <v>17</v>
      </c>
      <c r="D41" s="15"/>
      <c r="E41" s="15"/>
      <c r="F41" s="15"/>
      <c r="G41" s="38">
        <v>185</v>
      </c>
      <c r="H41" s="15"/>
      <c r="I41" s="15"/>
      <c r="J41" s="38">
        <v>185</v>
      </c>
      <c r="K41" s="15"/>
      <c r="L41" s="15"/>
      <c r="M41" s="60">
        <v>185</v>
      </c>
      <c r="N41" s="15"/>
      <c r="O41" s="15"/>
      <c r="P41" s="60">
        <v>185</v>
      </c>
    </row>
    <row r="42" spans="2:16" ht="16.2" x14ac:dyDescent="0.35">
      <c r="B42" s="15" t="s">
        <v>49</v>
      </c>
      <c r="C42" s="6" t="s">
        <v>17</v>
      </c>
      <c r="D42" s="15"/>
      <c r="E42" s="15"/>
      <c r="F42" s="15"/>
      <c r="G42" s="38">
        <v>262.70999999999998</v>
      </c>
      <c r="H42" s="15"/>
      <c r="I42" s="15"/>
      <c r="J42" s="38">
        <v>263.76</v>
      </c>
      <c r="K42" s="15"/>
      <c r="L42" s="15"/>
      <c r="M42" s="60">
        <v>267.89999999999998</v>
      </c>
      <c r="N42" s="15"/>
      <c r="O42" s="15"/>
      <c r="P42" s="60">
        <v>273.32</v>
      </c>
    </row>
    <row r="43" spans="2:16" ht="16.2" x14ac:dyDescent="0.35">
      <c r="B43" s="15" t="s">
        <v>50</v>
      </c>
      <c r="C43" s="6" t="s">
        <v>17</v>
      </c>
      <c r="D43" s="15"/>
      <c r="E43" s="15"/>
      <c r="F43" s="15"/>
      <c r="G43" s="39">
        <v>0</v>
      </c>
      <c r="H43" s="15"/>
      <c r="I43" s="15"/>
      <c r="J43" s="39">
        <v>250</v>
      </c>
      <c r="K43" s="15"/>
      <c r="L43" s="15"/>
      <c r="M43" s="67">
        <v>250</v>
      </c>
      <c r="N43" s="15"/>
      <c r="O43" s="15"/>
      <c r="P43" s="67">
        <v>250</v>
      </c>
    </row>
    <row r="44" spans="2:16" ht="16.2" x14ac:dyDescent="0.35">
      <c r="B44" s="28" t="s">
        <v>59</v>
      </c>
      <c r="C44"/>
      <c r="D44" s="15"/>
      <c r="E44" s="15"/>
      <c r="F44" s="15"/>
      <c r="G44" s="16">
        <f>SUM(G41:G43)</f>
        <v>447.71</v>
      </c>
      <c r="H44" s="15"/>
      <c r="I44" s="15"/>
      <c r="J44" s="16">
        <f>SUM(J41:J43)</f>
        <v>698.76</v>
      </c>
      <c r="K44" s="15"/>
      <c r="L44" s="15"/>
      <c r="M44" s="16">
        <f>SUM(M41:M43)</f>
        <v>702.9</v>
      </c>
      <c r="N44" s="15"/>
      <c r="O44" s="15"/>
      <c r="P44" s="16">
        <f>SUM(P41:P43)</f>
        <v>708.31999999999994</v>
      </c>
    </row>
    <row r="45" spans="2:16" ht="16.2" x14ac:dyDescent="0.35">
      <c r="B45" s="28" t="s">
        <v>51</v>
      </c>
      <c r="C45"/>
      <c r="D45" s="15"/>
      <c r="E45" s="15"/>
      <c r="F45" s="15"/>
      <c r="G45" s="16">
        <f>G39+G44</f>
        <v>9414.1489737499978</v>
      </c>
      <c r="H45" s="16"/>
      <c r="I45" s="16"/>
      <c r="J45" s="16">
        <f>J39+J44</f>
        <v>2387.0909877328122</v>
      </c>
      <c r="K45" s="16"/>
      <c r="L45" s="16"/>
      <c r="M45" s="16">
        <f>M39+M44</f>
        <v>2877.4613249999998</v>
      </c>
      <c r="N45" s="16"/>
      <c r="O45" s="16"/>
      <c r="P45" s="16">
        <f>P39+P44</f>
        <v>8715.0136424999982</v>
      </c>
    </row>
    <row r="46" spans="2:16" ht="21.6" customHeight="1" x14ac:dyDescent="0.35">
      <c r="B46" s="136" t="s">
        <v>60</v>
      </c>
      <c r="C46" s="136"/>
      <c r="D46" s="41"/>
      <c r="E46" s="41"/>
      <c r="F46" s="41"/>
      <c r="G46" s="64">
        <f>G6-G39</f>
        <v>-8966.4389737499987</v>
      </c>
      <c r="H46" s="64"/>
      <c r="I46" s="64"/>
      <c r="J46" s="64">
        <f>J6-J39</f>
        <v>-243.33098773281245</v>
      </c>
      <c r="K46" s="64"/>
      <c r="L46" s="64"/>
      <c r="M46" s="64">
        <f>M6-M39</f>
        <v>715.43867500000033</v>
      </c>
      <c r="N46" s="64"/>
      <c r="O46" s="64"/>
      <c r="P46" s="64">
        <f>P6-P39</f>
        <v>3553.3063575000015</v>
      </c>
    </row>
    <row r="47" spans="2:16" ht="16.5" customHeight="1" thickBot="1" x14ac:dyDescent="0.4">
      <c r="B47" s="137" t="s">
        <v>52</v>
      </c>
      <c r="C47" s="137"/>
      <c r="D47" s="40"/>
      <c r="E47" s="40"/>
      <c r="F47" s="40"/>
      <c r="G47" s="65">
        <f>G6-G45</f>
        <v>-9414.1489737499978</v>
      </c>
      <c r="H47" s="65"/>
      <c r="I47" s="65"/>
      <c r="J47" s="65">
        <f>J6-J45</f>
        <v>-942.09098773281221</v>
      </c>
      <c r="K47" s="65"/>
      <c r="L47" s="65"/>
      <c r="M47" s="65">
        <f>M6-M45</f>
        <v>12.538675000000239</v>
      </c>
      <c r="N47" s="65"/>
      <c r="O47" s="65"/>
      <c r="P47" s="65">
        <f>P6-P45</f>
        <v>2844.9863575000018</v>
      </c>
    </row>
    <row r="48" spans="2:16" ht="16.5" customHeight="1" thickTop="1" x14ac:dyDescent="0.35">
      <c r="B48" s="6" t="s">
        <v>92</v>
      </c>
      <c r="C48"/>
      <c r="D48"/>
      <c r="E48"/>
      <c r="F48"/>
      <c r="G48" s="63"/>
      <c r="H48" s="63"/>
      <c r="I48" s="63"/>
      <c r="J48" s="63"/>
      <c r="K48" s="63"/>
      <c r="L48" s="63"/>
      <c r="M48" s="63"/>
      <c r="N48" s="63"/>
      <c r="O48" s="63"/>
      <c r="P48" s="63"/>
    </row>
    <row r="49" spans="2:17" ht="15.6" hidden="1" customHeight="1" x14ac:dyDescent="0.35">
      <c r="B49"/>
      <c r="C49"/>
      <c r="D49"/>
      <c r="E49"/>
      <c r="F49"/>
      <c r="G49"/>
      <c r="H49"/>
      <c r="I49"/>
      <c r="J49"/>
      <c r="K49"/>
      <c r="L49"/>
      <c r="M49"/>
      <c r="N49"/>
      <c r="O49"/>
      <c r="P49"/>
    </row>
    <row r="50" spans="2:17" ht="16.5" hidden="1" customHeight="1" x14ac:dyDescent="0.35">
      <c r="B50" s="21"/>
      <c r="C50"/>
      <c r="D50"/>
      <c r="E50"/>
      <c r="F50"/>
      <c r="G50"/>
      <c r="H50"/>
      <c r="I50"/>
      <c r="J50"/>
      <c r="K50"/>
      <c r="L50"/>
      <c r="M50"/>
      <c r="N50"/>
      <c r="O50"/>
      <c r="P50"/>
    </row>
    <row r="51" spans="2:17" ht="16.5" hidden="1" customHeight="1" x14ac:dyDescent="0.35">
      <c r="B51"/>
      <c r="C51"/>
      <c r="D51"/>
      <c r="E51" s="132"/>
      <c r="F51" s="132"/>
      <c r="G51"/>
      <c r="H51"/>
      <c r="I51"/>
      <c r="J51"/>
      <c r="K51"/>
      <c r="L51"/>
      <c r="M51"/>
      <c r="N51"/>
      <c r="O51"/>
      <c r="P51"/>
      <c r="Q51"/>
    </row>
    <row r="52" spans="2:17" ht="16.5" hidden="1" customHeight="1" x14ac:dyDescent="0.35">
      <c r="B52"/>
      <c r="C52"/>
      <c r="D52"/>
      <c r="E52" s="132"/>
      <c r="F52" s="132"/>
      <c r="G52"/>
      <c r="H52"/>
      <c r="I52" s="19"/>
      <c r="J52" s="18"/>
      <c r="K52" s="18"/>
      <c r="L52" s="18"/>
      <c r="M52" s="18"/>
      <c r="N52" s="18"/>
      <c r="O52"/>
      <c r="P52"/>
    </row>
    <row r="53" spans="2:17" ht="16.5" hidden="1" customHeight="1" x14ac:dyDescent="0.35">
      <c r="B53"/>
      <c r="C53"/>
      <c r="D53" s="132"/>
      <c r="E53" s="132"/>
      <c r="F53" s="132"/>
      <c r="G53"/>
      <c r="H53"/>
      <c r="I53" s="19"/>
      <c r="J53" s="18"/>
      <c r="K53" s="18"/>
      <c r="L53" s="18"/>
      <c r="M53" s="18"/>
      <c r="N53" s="18"/>
      <c r="O53"/>
      <c r="P53"/>
    </row>
    <row r="54" spans="2:17" ht="16.5" hidden="1" customHeight="1" x14ac:dyDescent="0.35">
      <c r="B54"/>
      <c r="D54" s="20"/>
      <c r="E54" s="20"/>
      <c r="F54" s="20"/>
      <c r="G54"/>
      <c r="H54"/>
      <c r="I54" s="19"/>
      <c r="J54" s="18"/>
      <c r="K54" s="18"/>
      <c r="L54" s="18"/>
      <c r="M54" s="18"/>
      <c r="N54" s="18"/>
      <c r="O54"/>
      <c r="P54"/>
    </row>
    <row r="55" spans="2:17" ht="16.5" hidden="1" customHeight="1" x14ac:dyDescent="0.35">
      <c r="B55"/>
      <c r="C55" s="20"/>
      <c r="D55" s="20"/>
      <c r="E55" s="20"/>
      <c r="F55"/>
      <c r="G55"/>
      <c r="H55"/>
      <c r="I55" s="131"/>
      <c r="J55" s="131"/>
      <c r="K55" s="131"/>
      <c r="L55" s="131"/>
      <c r="M55" s="131"/>
      <c r="N55" s="131"/>
      <c r="O55"/>
      <c r="P55"/>
    </row>
    <row r="56" spans="2:17" ht="16.5" hidden="1" customHeight="1" x14ac:dyDescent="0.35">
      <c r="B56" s="21"/>
      <c r="C56" s="20"/>
      <c r="D56" s="20"/>
      <c r="E56" s="20"/>
      <c r="F56" s="22"/>
      <c r="G56"/>
      <c r="H56"/>
      <c r="I56" s="131"/>
      <c r="J56" s="131"/>
      <c r="K56" s="131"/>
      <c r="L56" s="131"/>
      <c r="M56" s="131"/>
      <c r="N56" s="131"/>
      <c r="O56"/>
      <c r="P56"/>
    </row>
    <row r="57" spans="2:17" ht="16.5" hidden="1" customHeight="1" x14ac:dyDescent="0.35">
      <c r="B57"/>
      <c r="C57" s="20"/>
      <c r="D57" s="20"/>
      <c r="E57" s="20"/>
      <c r="F57" s="23"/>
      <c r="G57"/>
      <c r="H57"/>
      <c r="J57"/>
      <c r="K57"/>
      <c r="L57"/>
      <c r="M57"/>
      <c r="N57"/>
      <c r="O57"/>
      <c r="P57"/>
    </row>
    <row r="58" spans="2:17" ht="16.5" hidden="1" customHeight="1" x14ac:dyDescent="0.35">
      <c r="B58"/>
      <c r="C58"/>
      <c r="D58"/>
      <c r="E58"/>
      <c r="F58" s="23"/>
      <c r="G58"/>
      <c r="H58"/>
      <c r="I58"/>
      <c r="J58"/>
      <c r="K58"/>
      <c r="L58"/>
      <c r="M58"/>
      <c r="N58"/>
      <c r="O58"/>
      <c r="P58"/>
    </row>
    <row r="59" spans="2:17" ht="16.5" hidden="1" customHeight="1" x14ac:dyDescent="0.35">
      <c r="B59"/>
      <c r="C59"/>
      <c r="D59"/>
      <c r="E59"/>
      <c r="F59" s="23"/>
      <c r="G59"/>
      <c r="H59"/>
      <c r="I59"/>
      <c r="J59"/>
      <c r="K59"/>
      <c r="L59"/>
      <c r="M59"/>
      <c r="N59"/>
      <c r="O59"/>
      <c r="P59"/>
    </row>
    <row r="65" s="1" customFormat="1" hidden="1" x14ac:dyDescent="0.35"/>
  </sheetData>
  <sheetProtection sheet="1" objects="1" scenarios="1"/>
  <mergeCells count="12">
    <mergeCell ref="I55:N56"/>
    <mergeCell ref="E51:F51"/>
    <mergeCell ref="E52:F52"/>
    <mergeCell ref="D53:F53"/>
    <mergeCell ref="B2:P2"/>
    <mergeCell ref="F3:G3"/>
    <mergeCell ref="I3:J3"/>
    <mergeCell ref="L3:M3"/>
    <mergeCell ref="O3:P3"/>
    <mergeCell ref="B35:C35"/>
    <mergeCell ref="B46:C46"/>
    <mergeCell ref="B47:C47"/>
  </mergeCells>
  <pageMargins left="0.7" right="0.7" top="0.75" bottom="0.75" header="0.3" footer="0.3"/>
  <pageSetup scale="66" fitToHeight="0" orientation="portrait" r:id="rId1"/>
  <ignoredErrors>
    <ignoredError sqref="F2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95F7E-0FF1-4027-B3F0-598DF36CC945}">
  <sheetPr>
    <pageSetUpPr fitToPage="1"/>
  </sheetPr>
  <dimension ref="A1:L49"/>
  <sheetViews>
    <sheetView workbookViewId="0"/>
  </sheetViews>
  <sheetFormatPr defaultColWidth="0" defaultRowHeight="14.4" zeroHeight="1" x14ac:dyDescent="0.3"/>
  <cols>
    <col min="1" max="1" width="3.09765625" customWidth="1"/>
    <col min="2" max="2" width="8.59765625" customWidth="1"/>
    <col min="3" max="3" width="10.09765625" customWidth="1"/>
    <col min="4" max="4" width="9.296875" customWidth="1"/>
    <col min="5" max="5" width="11.796875" customWidth="1"/>
    <col min="6" max="6" width="9.59765625" bestFit="1" customWidth="1"/>
    <col min="7" max="7" width="8.796875" bestFit="1" customWidth="1"/>
    <col min="8" max="8" width="9.796875" customWidth="1"/>
    <col min="9" max="9" width="11" customWidth="1"/>
    <col min="10" max="10" width="9.796875" bestFit="1" customWidth="1"/>
    <col min="11" max="11" width="10.09765625" customWidth="1"/>
    <col min="12" max="12" width="3.09765625" customWidth="1"/>
    <col min="13" max="16384" width="8.59765625" hidden="1"/>
  </cols>
  <sheetData>
    <row r="1" spans="1:12" ht="15.6" x14ac:dyDescent="0.3">
      <c r="A1" s="12"/>
      <c r="B1" s="138" t="s">
        <v>93</v>
      </c>
      <c r="C1" s="138"/>
      <c r="D1" s="138"/>
      <c r="E1" s="138"/>
      <c r="F1" s="138"/>
      <c r="G1" s="138"/>
      <c r="H1" s="138"/>
      <c r="I1" s="138"/>
      <c r="J1" s="138"/>
      <c r="K1" s="138"/>
      <c r="L1" s="12"/>
    </row>
    <row r="2" spans="1:12" ht="34.049999999999997" customHeight="1" x14ac:dyDescent="0.3">
      <c r="A2" s="12"/>
      <c r="B2" s="128" t="s">
        <v>99</v>
      </c>
      <c r="C2" s="128"/>
      <c r="D2" s="128"/>
      <c r="E2" s="128"/>
      <c r="F2" s="128"/>
      <c r="G2" s="128"/>
      <c r="H2" s="128"/>
      <c r="I2" s="128"/>
      <c r="J2" s="128"/>
      <c r="K2" s="128"/>
      <c r="L2" s="12"/>
    </row>
    <row r="3" spans="1:12" ht="15.6" x14ac:dyDescent="0.3">
      <c r="A3" s="12"/>
      <c r="B3" s="86"/>
      <c r="C3" s="87"/>
      <c r="D3" s="98"/>
      <c r="E3" s="142" t="s">
        <v>68</v>
      </c>
      <c r="F3" s="142"/>
      <c r="G3" s="142"/>
      <c r="H3" s="142"/>
      <c r="I3" s="142"/>
      <c r="J3" s="142"/>
      <c r="K3" s="143"/>
      <c r="L3" s="12"/>
    </row>
    <row r="4" spans="1:12" ht="16.05" customHeight="1" x14ac:dyDescent="0.3">
      <c r="A4" s="12"/>
      <c r="B4" s="88"/>
      <c r="C4" s="89"/>
      <c r="D4" s="99"/>
      <c r="E4" s="108" t="s">
        <v>73</v>
      </c>
      <c r="F4" s="109" t="s">
        <v>72</v>
      </c>
      <c r="G4" s="109" t="s">
        <v>66</v>
      </c>
      <c r="H4" s="109" t="s">
        <v>64</v>
      </c>
      <c r="I4" s="109" t="s">
        <v>62</v>
      </c>
      <c r="J4" s="109" t="s">
        <v>70</v>
      </c>
      <c r="K4" s="110" t="s">
        <v>71</v>
      </c>
      <c r="L4" s="12"/>
    </row>
    <row r="5" spans="1:12" ht="16.05" customHeight="1" x14ac:dyDescent="0.3">
      <c r="A5" s="12"/>
      <c r="B5" s="100"/>
      <c r="C5" s="101"/>
      <c r="D5" s="43"/>
      <c r="E5" s="104">
        <f>H5*70%</f>
        <v>2800</v>
      </c>
      <c r="F5" s="105">
        <f>H5*80%</f>
        <v>3200</v>
      </c>
      <c r="G5" s="105">
        <f>H5*90%</f>
        <v>3600</v>
      </c>
      <c r="H5" s="106">
        <f>Budget!O5</f>
        <v>4000</v>
      </c>
      <c r="I5" s="105">
        <f>H5*110%</f>
        <v>4400</v>
      </c>
      <c r="J5" s="105">
        <f>H5*120%</f>
        <v>4800</v>
      </c>
      <c r="K5" s="107">
        <f>H5*130%</f>
        <v>5200</v>
      </c>
      <c r="L5" s="12"/>
    </row>
    <row r="6" spans="1:12" ht="16.05" customHeight="1" x14ac:dyDescent="0.3">
      <c r="A6" s="12"/>
      <c r="B6" s="139" t="s">
        <v>69</v>
      </c>
      <c r="C6" s="91" t="s">
        <v>67</v>
      </c>
      <c r="D6" s="81">
        <f>D9*85%</f>
        <v>2.4565000000000001</v>
      </c>
      <c r="E6" s="95">
        <f>(D6*$E$5)-Budget!$P$45</f>
        <v>-1836.8136424999975</v>
      </c>
      <c r="F6" s="96">
        <f>(D6*$F$5)-Budget!$P$45</f>
        <v>-854.21364249999806</v>
      </c>
      <c r="G6" s="96">
        <f>(D6*$G$5)-Budget!$P$45</f>
        <v>128.3863575000014</v>
      </c>
      <c r="H6" s="72">
        <f>(D6*$H$5)-Budget!$P$45</f>
        <v>1110.9863575000018</v>
      </c>
      <c r="I6" s="72">
        <f>(D6*$I$5)-Budget!$P$45</f>
        <v>2093.5863575000021</v>
      </c>
      <c r="J6" s="72">
        <f>(D6*$J$5)-Budget!$P$45</f>
        <v>3076.1863575000025</v>
      </c>
      <c r="K6" s="73">
        <f>(D6*$K$5)-Budget!$P$45</f>
        <v>4058.7863575000029</v>
      </c>
      <c r="L6" s="12"/>
    </row>
    <row r="7" spans="1:12" ht="16.05" customHeight="1" x14ac:dyDescent="0.3">
      <c r="A7" s="12"/>
      <c r="B7" s="139"/>
      <c r="C7" s="91" t="s">
        <v>66</v>
      </c>
      <c r="D7" s="81">
        <f>D9*90%</f>
        <v>2.601</v>
      </c>
      <c r="E7" s="97">
        <f>(D7*$E$5)-Budget!$P$45</f>
        <v>-1432.2136424999981</v>
      </c>
      <c r="F7" s="85">
        <f>(D7*$F$5)-Budget!$P$45</f>
        <v>-391.81364249999751</v>
      </c>
      <c r="G7" s="85">
        <f>(D7*$G$5)-Budget!$P$45</f>
        <v>648.58635750000212</v>
      </c>
      <c r="H7" s="75">
        <f>(D7*$H$5)-Budget!$P$45</f>
        <v>1688.9863575000018</v>
      </c>
      <c r="I7" s="75">
        <f>(D7*$I$5)-Budget!$P$45</f>
        <v>2729.3863575000014</v>
      </c>
      <c r="J7" s="75">
        <f>(D7*$J$5)-Budget!$P$45</f>
        <v>3769.786357500001</v>
      </c>
      <c r="K7" s="76">
        <f>(D7*$K$5)-Budget!$P$45</f>
        <v>4810.1863575000025</v>
      </c>
      <c r="L7" s="12"/>
    </row>
    <row r="8" spans="1:12" ht="16.05" customHeight="1" thickBot="1" x14ac:dyDescent="0.35">
      <c r="A8" s="12"/>
      <c r="B8" s="139"/>
      <c r="C8" s="92" t="s">
        <v>65</v>
      </c>
      <c r="D8" s="81">
        <f>D9*0.95</f>
        <v>2.7454999999999998</v>
      </c>
      <c r="E8" s="97">
        <f>(D8*$E$5)-Budget!$P$45</f>
        <v>-1027.6136424999986</v>
      </c>
      <c r="F8" s="85">
        <f>(D8*$F$5)-Budget!$P$45</f>
        <v>70.586357500000304</v>
      </c>
      <c r="G8" s="85">
        <f>(D8*$G$5)-Budget!$P$45</f>
        <v>1168.786357500001</v>
      </c>
      <c r="H8" s="75">
        <f>(D8*$H$5)-Budget!$P$45</f>
        <v>2266.9863575000018</v>
      </c>
      <c r="I8" s="75">
        <f>(D8*$I$5)-Budget!$P$45</f>
        <v>3365.1863575000007</v>
      </c>
      <c r="J8" s="75">
        <f>(D8*$J$5)-Budget!$P$45</f>
        <v>4463.3863575000014</v>
      </c>
      <c r="K8" s="76">
        <f>(D8*$K$5)-Budget!$P$45</f>
        <v>5561.5863575000003</v>
      </c>
      <c r="L8" s="12"/>
    </row>
    <row r="9" spans="1:12" ht="16.05" customHeight="1" thickBot="1" x14ac:dyDescent="0.35">
      <c r="A9" s="12"/>
      <c r="B9" s="139"/>
      <c r="C9" s="91" t="s">
        <v>64</v>
      </c>
      <c r="D9" s="82">
        <f>Budget!D5</f>
        <v>2.89</v>
      </c>
      <c r="E9" s="97">
        <f>(D9*$E$5)-Budget!$P$45</f>
        <v>-623.01364249999824</v>
      </c>
      <c r="F9" s="85">
        <f>(D9*$F$5)-Budget!$P$45</f>
        <v>532.98635750000176</v>
      </c>
      <c r="G9" s="85">
        <f>(D9*$G$5)-Budget!$P$45</f>
        <v>1688.9863575000018</v>
      </c>
      <c r="H9" s="77">
        <f>(D9*$H$5)-Budget!$P$45</f>
        <v>2844.9863575000018</v>
      </c>
      <c r="I9" s="75">
        <f>(D9*$I$5)-Budget!$P$45</f>
        <v>4000.9863575000018</v>
      </c>
      <c r="J9" s="75">
        <f>(D9*$J$5)-Budget!$P$45</f>
        <v>5156.9863575000018</v>
      </c>
      <c r="K9" s="76">
        <f>(D9*$K$5)-Budget!$P$45</f>
        <v>6312.9863575000018</v>
      </c>
      <c r="L9" s="12"/>
    </row>
    <row r="10" spans="1:12" ht="16.05" customHeight="1" x14ac:dyDescent="0.3">
      <c r="A10" s="12"/>
      <c r="B10" s="139"/>
      <c r="C10" s="91" t="s">
        <v>63</v>
      </c>
      <c r="D10" s="81">
        <f>D9*105%</f>
        <v>3.0345000000000004</v>
      </c>
      <c r="E10" s="97">
        <f>(D10*$E$5)-Budget!$P$45</f>
        <v>-218.41364249999788</v>
      </c>
      <c r="F10" s="85">
        <f>(D10*$F$5)-Budget!$P$45</f>
        <v>995.38635750000321</v>
      </c>
      <c r="G10" s="85">
        <f>(D10*$G$5)-Budget!$P$45</f>
        <v>2209.1863575000025</v>
      </c>
      <c r="H10" s="75">
        <f>(D10*$H$5)-Budget!$P$45</f>
        <v>3422.9863575000036</v>
      </c>
      <c r="I10" s="75">
        <f>(D10*$I$5)-Budget!$P$45</f>
        <v>4636.7863575000029</v>
      </c>
      <c r="J10" s="75">
        <f>(D10*$J$5)-Budget!$P$45</f>
        <v>5850.5863575000039</v>
      </c>
      <c r="K10" s="76">
        <f>(D10*$K$5)-Budget!$P$45</f>
        <v>7064.3863575000032</v>
      </c>
      <c r="L10" s="12"/>
    </row>
    <row r="11" spans="1:12" ht="16.05" customHeight="1" x14ac:dyDescent="0.3">
      <c r="A11" s="12"/>
      <c r="B11" s="139"/>
      <c r="C11" s="91" t="s">
        <v>62</v>
      </c>
      <c r="D11" s="81">
        <f>D9*110%</f>
        <v>3.1790000000000003</v>
      </c>
      <c r="E11" s="74">
        <f>(D11*$E$5)-Budget!$P$45</f>
        <v>186.18635750000249</v>
      </c>
      <c r="F11" s="75">
        <f>(D11*$F$5)-Budget!$P$45</f>
        <v>1457.7863575000029</v>
      </c>
      <c r="G11" s="75">
        <f>(D11*$G$5)-Budget!$P$45</f>
        <v>2729.3863575000032</v>
      </c>
      <c r="H11" s="75">
        <f>(D11*$H$5)-Budget!$P$45</f>
        <v>4000.9863575000036</v>
      </c>
      <c r="I11" s="75">
        <f>(D11*$I$5)-Budget!$P$45</f>
        <v>5272.5863575000021</v>
      </c>
      <c r="J11" s="75">
        <f>(D11*$J$5)-Budget!$P$45</f>
        <v>6544.1863575000025</v>
      </c>
      <c r="K11" s="76">
        <f>(D11*$K$5)-Budget!$P$45</f>
        <v>7815.7863575000047</v>
      </c>
      <c r="L11" s="12"/>
    </row>
    <row r="12" spans="1:12" ht="16.05" customHeight="1" x14ac:dyDescent="0.3">
      <c r="A12" s="12"/>
      <c r="B12" s="140"/>
      <c r="C12" s="93" t="s">
        <v>61</v>
      </c>
      <c r="D12" s="94">
        <f>D9*115%</f>
        <v>3.3234999999999997</v>
      </c>
      <c r="E12" s="78">
        <f>(D12*$E$5)-Budget!$P$45</f>
        <v>590.78635750000103</v>
      </c>
      <c r="F12" s="79">
        <f>(D12*$F$5)-Budget!$P$45</f>
        <v>1920.1863575000007</v>
      </c>
      <c r="G12" s="79">
        <f>(D12*$G$5)-Budget!$P$45</f>
        <v>3249.5863575000003</v>
      </c>
      <c r="H12" s="79">
        <f>(D12*$H$5)-Budget!$P$45</f>
        <v>4578.9863574999999</v>
      </c>
      <c r="I12" s="79">
        <f>(D12*$I$5)-Budget!$P$45</f>
        <v>5908.3863574999996</v>
      </c>
      <c r="J12" s="79">
        <f>(D12*$J$5)-Budget!$P$45</f>
        <v>7237.786357500001</v>
      </c>
      <c r="K12" s="80">
        <f>(D12*$K$5)-Budget!$P$45</f>
        <v>8567.1863574999988</v>
      </c>
      <c r="L12" s="12"/>
    </row>
    <row r="13" spans="1:12" s="12" customFormat="1" ht="6" customHeight="1" x14ac:dyDescent="0.3">
      <c r="B13" s="14"/>
      <c r="C13" s="14"/>
      <c r="D13" s="14"/>
      <c r="E13" s="14"/>
      <c r="F13" s="14"/>
      <c r="G13" s="14"/>
      <c r="H13" s="14"/>
      <c r="I13" s="14"/>
      <c r="J13" s="14"/>
      <c r="K13" s="14"/>
    </row>
    <row r="14" spans="1:12" s="12" customFormat="1" ht="15.6" x14ac:dyDescent="0.3">
      <c r="B14" s="138" t="s">
        <v>105</v>
      </c>
      <c r="C14" s="138"/>
      <c r="D14" s="138"/>
      <c r="E14" s="138"/>
      <c r="F14" s="138"/>
      <c r="G14" s="138"/>
      <c r="H14" s="138"/>
      <c r="I14" s="138"/>
      <c r="J14" s="138"/>
      <c r="K14" s="138"/>
    </row>
    <row r="15" spans="1:12" s="12" customFormat="1" ht="35.1" customHeight="1" x14ac:dyDescent="0.3">
      <c r="B15" s="128" t="s">
        <v>82</v>
      </c>
      <c r="C15" s="128"/>
      <c r="D15" s="128"/>
      <c r="E15" s="128"/>
      <c r="F15" s="128"/>
      <c r="G15" s="128"/>
      <c r="H15" s="128"/>
      <c r="I15" s="128"/>
      <c r="J15" s="128"/>
      <c r="K15" s="128"/>
    </row>
    <row r="16" spans="1:12" ht="15.6" x14ac:dyDescent="0.3">
      <c r="A16" s="12"/>
      <c r="B16" s="112"/>
      <c r="C16" s="113"/>
      <c r="D16" s="113"/>
      <c r="E16" s="141" t="s">
        <v>3</v>
      </c>
      <c r="F16" s="142"/>
      <c r="G16" s="142"/>
      <c r="H16" s="142"/>
      <c r="I16" s="142"/>
      <c r="J16" s="142"/>
      <c r="K16" s="143"/>
      <c r="L16" s="12"/>
    </row>
    <row r="17" spans="1:12" ht="16.05" customHeight="1" x14ac:dyDescent="0.3">
      <c r="A17" s="12"/>
      <c r="B17" s="90"/>
      <c r="C17" s="42"/>
      <c r="D17" s="111"/>
      <c r="E17" s="114" t="s">
        <v>67</v>
      </c>
      <c r="F17" s="115" t="s">
        <v>66</v>
      </c>
      <c r="G17" s="115" t="s">
        <v>65</v>
      </c>
      <c r="H17" s="115" t="s">
        <v>64</v>
      </c>
      <c r="I17" s="115" t="s">
        <v>63</v>
      </c>
      <c r="J17" s="115" t="s">
        <v>62</v>
      </c>
      <c r="K17" s="116" t="s">
        <v>61</v>
      </c>
      <c r="L17" s="12"/>
    </row>
    <row r="18" spans="1:12" ht="16.05" customHeight="1" x14ac:dyDescent="0.3">
      <c r="A18" s="12"/>
      <c r="B18" s="144" t="s">
        <v>56</v>
      </c>
      <c r="C18" s="44"/>
      <c r="D18" s="45" t="s">
        <v>67</v>
      </c>
      <c r="E18" s="71">
        <f>(Budget!$P$6*0.85)-(Budget!$P$39*0.85)-Budget!$P$44</f>
        <v>2311.9904038750019</v>
      </c>
      <c r="F18" s="72">
        <f>(Budget!$P$6*0.9)-(Budget!$P$39*0.85)-Budget!$P$44</f>
        <v>2889.9904038750019</v>
      </c>
      <c r="G18" s="72">
        <f>(Budget!$P$6*0.95)-(Budget!$P$39*0.85)-Budget!$P$44</f>
        <v>3467.9904038750019</v>
      </c>
      <c r="H18" s="72">
        <f>Budget!$P$6-(Budget!$P$39*0.85)-Budget!$P$44</f>
        <v>4045.9904038750019</v>
      </c>
      <c r="I18" s="72">
        <f>(Budget!$P$6*1.05)-(Budget!$P$39*0.85)-Budget!$P$44</f>
        <v>4623.9904038750019</v>
      </c>
      <c r="J18" s="72">
        <f>(Budget!$P$6*1.1)-(Budget!$P$39*0.85)-Budget!$P$44</f>
        <v>5201.9904038750037</v>
      </c>
      <c r="K18" s="73">
        <f>(Budget!$P$6*1.15)-(Budget!$P$39*0.85)-Budget!$P$44</f>
        <v>5779.9904038750001</v>
      </c>
      <c r="L18" s="12"/>
    </row>
    <row r="19" spans="1:12" ht="16.05" customHeight="1" x14ac:dyDescent="0.3">
      <c r="A19" s="12"/>
      <c r="B19" s="144"/>
      <c r="C19" s="44"/>
      <c r="D19" s="45" t="s">
        <v>66</v>
      </c>
      <c r="E19" s="74">
        <f>(Budget!$P$6*0.85)-(Budget!$P$39*0.9)-Budget!$P$44</f>
        <v>1911.655721750001</v>
      </c>
      <c r="F19" s="75">
        <f>(Budget!$P$6*0.9)-(Budget!$P$39*0.9)-Budget!$P$44</f>
        <v>2489.6557217500012</v>
      </c>
      <c r="G19" s="75">
        <f>(Budget!$P$6*0.95)-(Budget!$P$39*0.9)-Budget!$P$44</f>
        <v>3067.6557217500012</v>
      </c>
      <c r="H19" s="75">
        <f>Budget!$P$6-(Budget!$P$39*0.9)-Budget!$P$44</f>
        <v>3645.6557217500012</v>
      </c>
      <c r="I19" s="75">
        <f>(Budget!$P$6*1.05)-(Budget!$P$39*0.9)-Budget!$P$44</f>
        <v>4223.6557217500012</v>
      </c>
      <c r="J19" s="75">
        <f>(Budget!$P$6*1.1)-(Budget!$P$39*0.9)-Budget!$P$44</f>
        <v>4801.6557217500031</v>
      </c>
      <c r="K19" s="76">
        <f>(Budget!$P$6*1.15)-(Budget!$P$39*0.9)-Budget!$P$44</f>
        <v>5379.6557217499994</v>
      </c>
      <c r="L19" s="12"/>
    </row>
    <row r="20" spans="1:12" ht="16.05" customHeight="1" thickBot="1" x14ac:dyDescent="0.35">
      <c r="A20" s="12"/>
      <c r="B20" s="144"/>
      <c r="C20" s="44"/>
      <c r="D20" s="45" t="s">
        <v>65</v>
      </c>
      <c r="E20" s="74">
        <f>(Budget!$P$6*0.85)-(Budget!$P$39*0.95)-Budget!$P$44</f>
        <v>1511.3210396250022</v>
      </c>
      <c r="F20" s="75">
        <f>(Budget!$P$6*0.9)-(Budget!$P$39*0.95)-Budget!$P$44</f>
        <v>2089.3210396250024</v>
      </c>
      <c r="G20" s="75">
        <f>(Budget!$P$6*0.95)-(Budget!$P$39*0.95)-Budget!$P$44</f>
        <v>2667.3210396250024</v>
      </c>
      <c r="H20" s="75">
        <f>Budget!$P$6-(Budget!$P$39*0.95)-Budget!$P$44</f>
        <v>3245.3210396250024</v>
      </c>
      <c r="I20" s="75">
        <f>(Budget!$P$6*1.05)-(Budget!$P$39*0.95)-Budget!$P$44</f>
        <v>3823.3210396250024</v>
      </c>
      <c r="J20" s="75">
        <f>(Budget!$P$6*1.1)-(Budget!$P$39*0.95)-Budget!$P$44</f>
        <v>4401.3210396250042</v>
      </c>
      <c r="K20" s="76">
        <f>(Budget!$P$6*1.15)-(Budget!$P$39*0.95)-Budget!$P$44</f>
        <v>4979.3210396250006</v>
      </c>
      <c r="L20" s="12"/>
    </row>
    <row r="21" spans="1:12" ht="16.05" customHeight="1" thickBot="1" x14ac:dyDescent="0.35">
      <c r="A21" s="12"/>
      <c r="B21" s="144"/>
      <c r="C21" s="44"/>
      <c r="D21" s="45" t="s">
        <v>64</v>
      </c>
      <c r="E21" s="74">
        <f>(Budget!$P$6*0.85)-Budget!$P$39-Budget!$P$44</f>
        <v>1110.9863575000015</v>
      </c>
      <c r="F21" s="75">
        <f>(Budget!$P$6*0.9)-(Budget!$P$39)-Budget!$P$44</f>
        <v>1688.9863575000015</v>
      </c>
      <c r="G21" s="75">
        <f>(Budget!$P$6*0.95)-(Budget!$P$39)-Budget!$P$44</f>
        <v>2266.9863575000018</v>
      </c>
      <c r="H21" s="77">
        <f>Budget!$P$6-(Budget!$P$39)-Budget!$P$44</f>
        <v>2844.9863575000018</v>
      </c>
      <c r="I21" s="75">
        <f>(Budget!$P$6*1.05)-(Budget!$P$39)-Budget!$P$44</f>
        <v>3422.9863575000018</v>
      </c>
      <c r="J21" s="75">
        <f>(Budget!$P$6*1.1)-(Budget!$P$39)-Budget!$P$44</f>
        <v>4000.9863575000036</v>
      </c>
      <c r="K21" s="76">
        <f>(Budget!$P$6*1.15)-(Budget!$P$39)-Budget!$P$44</f>
        <v>4578.9863574999999</v>
      </c>
      <c r="L21" s="12"/>
    </row>
    <row r="22" spans="1:12" ht="16.05" customHeight="1" x14ac:dyDescent="0.3">
      <c r="A22" s="12"/>
      <c r="B22" s="144"/>
      <c r="C22" s="44"/>
      <c r="D22" s="45" t="s">
        <v>63</v>
      </c>
      <c r="E22" s="74">
        <f>(Budget!$P$6*0.85)-(Budget!$P$39*1.05)-Budget!$P$44</f>
        <v>710.65167537500179</v>
      </c>
      <c r="F22" s="75">
        <f>(Budget!$P$6*0.9)-(Budget!$P$39*1.05)-Budget!$P$44</f>
        <v>1288.6516753750018</v>
      </c>
      <c r="G22" s="75">
        <f>(Budget!$P$6*0.95)-(Budget!$P$39*1.05)-Budget!$P$44</f>
        <v>1866.6516753750018</v>
      </c>
      <c r="H22" s="75">
        <f>Budget!$P$6-(Budget!$P$39*1.05)-Budget!$P$44</f>
        <v>2444.651675375002</v>
      </c>
      <c r="I22" s="75">
        <f>(Budget!$P$6*1.05)-(Budget!$P$39*1.05)-Budget!$P$44</f>
        <v>3022.651675375002</v>
      </c>
      <c r="J22" s="75">
        <f>(Budget!$P$6*1.1)-(Budget!$P$39*1.05)-Budget!$P$44</f>
        <v>3600.6516753750038</v>
      </c>
      <c r="K22" s="76">
        <f>(Budget!$P$6*1.15)-(Budget!$P$39*1.05)-Budget!$P$44</f>
        <v>4178.6516753750002</v>
      </c>
      <c r="L22" s="12"/>
    </row>
    <row r="23" spans="1:12" ht="16.05" customHeight="1" x14ac:dyDescent="0.3">
      <c r="A23" s="12"/>
      <c r="B23" s="144"/>
      <c r="C23" s="44"/>
      <c r="D23" s="45" t="s">
        <v>62</v>
      </c>
      <c r="E23" s="74">
        <f>(Budget!$P$6*0.85)-(Budget!$P$39*1.1)-Budget!$P$44</f>
        <v>310.31699325000022</v>
      </c>
      <c r="F23" s="75">
        <f>(Budget!$P$6*0.9)-(Budget!$P$39*1.1)-Budget!$P$44</f>
        <v>888.31699325000022</v>
      </c>
      <c r="G23" s="75">
        <f>(Budget!$P$6*0.95)-(Budget!$P$39*1.1)-Budget!$P$44</f>
        <v>1466.3169932500002</v>
      </c>
      <c r="H23" s="75">
        <f>Budget!$P$6-(Budget!$P$39*1.1)-Budget!$P$44</f>
        <v>2044.3169932500002</v>
      </c>
      <c r="I23" s="75">
        <f>(Budget!$P$6*1.05)-(Budget!$P$39*1.1)-Budget!$P$44</f>
        <v>2622.3169932500005</v>
      </c>
      <c r="J23" s="75">
        <f>(Budget!$P$6*1.1)-(Budget!$P$39*1.1)-Budget!$P$44</f>
        <v>3200.3169932500023</v>
      </c>
      <c r="K23" s="76">
        <f>(Budget!$P$6*1.15)-(Budget!$P$39*1.1)-Budget!$P$44</f>
        <v>3778.3169932499986</v>
      </c>
      <c r="L23" s="12"/>
    </row>
    <row r="24" spans="1:12" ht="16.05" customHeight="1" x14ac:dyDescent="0.3">
      <c r="A24" s="12"/>
      <c r="B24" s="145"/>
      <c r="C24" s="102"/>
      <c r="D24" s="103" t="s">
        <v>61</v>
      </c>
      <c r="E24" s="78">
        <f>(Budget!$P$6*0.85)-(Budget!$P$39*1.15)-Budget!$P$44</f>
        <v>-90.017688874997702</v>
      </c>
      <c r="F24" s="79">
        <f>(Budget!$P$6*0.9)-(Budget!$P$39*1.15)-Budget!$P$44</f>
        <v>487.9823111250023</v>
      </c>
      <c r="G24" s="79">
        <f>(Budget!$P$6*0.95)-(Budget!$P$39*1.15)-Budget!$P$44</f>
        <v>1065.9823111250023</v>
      </c>
      <c r="H24" s="79">
        <f>Budget!$P$6-(Budget!$P$39*1.15)-Budget!$P$44</f>
        <v>1643.9823111250023</v>
      </c>
      <c r="I24" s="79">
        <f>(Budget!$P$6*1.05)-(Budget!$P$39*1.15)-Budget!$P$44</f>
        <v>2221.9823111250025</v>
      </c>
      <c r="J24" s="79">
        <f>(Budget!$P$6*1.1)-(Budget!$P$39*1.15)-Budget!$P$44</f>
        <v>2799.9823111250043</v>
      </c>
      <c r="K24" s="80">
        <f>(Budget!$P$6*1.15)-(Budget!$P$39*1.15)-Budget!$P$44</f>
        <v>3377.9823111250007</v>
      </c>
      <c r="L24" s="12"/>
    </row>
    <row r="25" spans="1:12" ht="9" customHeight="1" x14ac:dyDescent="0.3">
      <c r="A25" s="12"/>
      <c r="B25" s="15"/>
      <c r="C25" s="15"/>
      <c r="D25" s="15"/>
      <c r="E25" s="15"/>
      <c r="F25" s="15"/>
      <c r="G25" s="15"/>
      <c r="H25" s="15"/>
      <c r="I25" s="15"/>
      <c r="J25" s="15"/>
      <c r="K25" s="15"/>
      <c r="L25" s="12"/>
    </row>
    <row r="26" spans="1:12" ht="15.6" x14ac:dyDescent="0.3">
      <c r="A26" s="12"/>
      <c r="B26" s="138" t="s">
        <v>75</v>
      </c>
      <c r="C26" s="138"/>
      <c r="D26" s="138"/>
      <c r="E26" s="138"/>
      <c r="F26" s="138"/>
      <c r="G26" s="138"/>
      <c r="H26" s="138"/>
      <c r="I26" s="138"/>
      <c r="J26" s="138"/>
      <c r="K26" s="138"/>
      <c r="L26" s="12"/>
    </row>
    <row r="27" spans="1:12" ht="15.6" x14ac:dyDescent="0.3">
      <c r="A27" s="12"/>
      <c r="B27" s="128" t="s">
        <v>79</v>
      </c>
      <c r="C27" s="128"/>
      <c r="D27" s="128"/>
      <c r="E27" s="128"/>
      <c r="F27" s="128"/>
      <c r="G27" s="128"/>
      <c r="H27" s="128"/>
      <c r="I27" s="128"/>
      <c r="J27" s="128"/>
      <c r="K27" s="128"/>
      <c r="L27" s="12"/>
    </row>
    <row r="28" spans="1:12" ht="65.55" customHeight="1" x14ac:dyDescent="0.3">
      <c r="A28" s="12"/>
      <c r="B28" s="128" t="s">
        <v>83</v>
      </c>
      <c r="C28" s="128"/>
      <c r="D28" s="128"/>
      <c r="E28" s="128"/>
      <c r="F28" s="128"/>
      <c r="G28" s="128"/>
      <c r="H28" s="128"/>
      <c r="I28" s="128"/>
      <c r="J28" s="128"/>
      <c r="K28" s="128"/>
      <c r="L28" s="12"/>
    </row>
    <row r="29" spans="1:12" ht="33.6" customHeight="1" x14ac:dyDescent="0.3">
      <c r="A29" s="12"/>
      <c r="B29" s="128" t="s">
        <v>84</v>
      </c>
      <c r="C29" s="128"/>
      <c r="D29" s="128"/>
      <c r="E29" s="128"/>
      <c r="F29" s="128"/>
      <c r="G29" s="128"/>
      <c r="H29" s="128"/>
      <c r="I29" s="128"/>
      <c r="J29" s="128"/>
      <c r="K29" s="128"/>
      <c r="L29" s="12"/>
    </row>
    <row r="30" spans="1:12" x14ac:dyDescent="0.3">
      <c r="A30" s="12"/>
      <c r="B30" s="128"/>
      <c r="C30" s="128"/>
      <c r="D30" s="128"/>
      <c r="E30" s="128"/>
      <c r="F30" s="128"/>
      <c r="G30" s="128"/>
      <c r="H30" s="128"/>
      <c r="I30" s="128"/>
      <c r="J30" s="128"/>
      <c r="K30" s="128"/>
      <c r="L30" s="12"/>
    </row>
    <row r="31" spans="1:12" x14ac:dyDescent="0.3">
      <c r="A31" s="12"/>
      <c r="B31" s="128"/>
      <c r="C31" s="128"/>
      <c r="D31" s="128"/>
      <c r="E31" s="128"/>
      <c r="F31" s="128"/>
      <c r="G31" s="128"/>
      <c r="H31" s="128"/>
      <c r="I31" s="128"/>
      <c r="J31" s="128"/>
      <c r="K31" s="128"/>
      <c r="L31" s="12"/>
    </row>
    <row r="32" spans="1:12" ht="32.549999999999997" customHeight="1" x14ac:dyDescent="0.3">
      <c r="A32" s="12"/>
      <c r="B32" s="128" t="s">
        <v>85</v>
      </c>
      <c r="C32" s="128"/>
      <c r="D32" s="128"/>
      <c r="E32" s="128"/>
      <c r="F32" s="128"/>
      <c r="G32" s="128"/>
      <c r="H32" s="128"/>
      <c r="I32" s="128"/>
      <c r="J32" s="128"/>
      <c r="K32" s="128"/>
      <c r="L32" s="12"/>
    </row>
    <row r="33" spans="1:12" ht="10.050000000000001" customHeight="1" x14ac:dyDescent="0.3">
      <c r="A33" s="12"/>
      <c r="B33" s="46"/>
      <c r="C33" s="46"/>
      <c r="D33" s="46"/>
      <c r="E33" s="46"/>
      <c r="F33" s="46"/>
      <c r="G33" s="46"/>
      <c r="H33" s="46"/>
      <c r="I33" s="46"/>
      <c r="J33" s="46"/>
      <c r="K33" s="46"/>
      <c r="L33" s="12"/>
    </row>
    <row r="34" spans="1:12" ht="15.6" x14ac:dyDescent="0.3">
      <c r="A34" s="12"/>
      <c r="B34" s="47" t="s">
        <v>53</v>
      </c>
      <c r="C34" s="14"/>
      <c r="D34" s="14"/>
      <c r="E34" s="14"/>
      <c r="F34" s="12"/>
      <c r="G34" s="12"/>
      <c r="H34" s="12"/>
      <c r="I34" s="12"/>
      <c r="J34" s="12"/>
      <c r="K34" s="12"/>
      <c r="L34" s="12"/>
    </row>
    <row r="35" spans="1:12" ht="15.6" x14ac:dyDescent="0.3">
      <c r="A35" s="12"/>
      <c r="B35" s="14" t="s">
        <v>76</v>
      </c>
      <c r="C35" s="48"/>
      <c r="D35" s="48"/>
      <c r="E35" s="68">
        <v>0.06</v>
      </c>
      <c r="F35" s="14"/>
      <c r="G35" s="47"/>
      <c r="H35" s="49"/>
      <c r="I35" s="49"/>
      <c r="J35" s="49"/>
      <c r="K35" s="25"/>
      <c r="L35" s="12"/>
    </row>
    <row r="36" spans="1:12" ht="15.6" x14ac:dyDescent="0.3">
      <c r="A36" s="12"/>
      <c r="B36" s="14" t="s">
        <v>80</v>
      </c>
      <c r="C36" s="14"/>
      <c r="D36" s="14"/>
      <c r="E36" s="50">
        <f>(Budget!G47+Budget!J47/(1+E35)+Budget!M47/((1+E35)^2)+Budget!P47/((1+E35)^3)+Budget!P47/(1+E35)^4+Budget!P47/(1+E35)^5+Budget!P47/(1+E35)^6+Budget!P47/(1+E35)^7)</f>
        <v>374.06723376578452</v>
      </c>
      <c r="F36" s="14"/>
      <c r="G36" s="46"/>
      <c r="H36" s="49"/>
      <c r="I36" s="49"/>
      <c r="J36" s="49"/>
      <c r="K36" s="50"/>
      <c r="L36" s="12"/>
    </row>
    <row r="37" spans="1:12" ht="15.6" x14ac:dyDescent="0.3">
      <c r="A37" s="12"/>
      <c r="B37" s="14" t="s">
        <v>77</v>
      </c>
      <c r="C37" s="14"/>
      <c r="D37" s="14"/>
      <c r="E37" s="50">
        <f>(Budget!G47+Budget!J47/(1+E35)+Budget!M47/((1+E35)^2)+Budget!P47/((1+E35)^3)+Budget!P47/(1+E35)^4+Budget!P47/(1+E35)^5+Budget!P47/(1+E35)^6+Budget!P47/(1+E35)^7+Budget!P47/(1+E35)^8+Budget!P47/(1+E35)^9)</f>
        <v>3842.9899245281395</v>
      </c>
      <c r="F37" s="12"/>
      <c r="G37" s="14"/>
      <c r="H37" s="14"/>
      <c r="I37" s="14"/>
      <c r="J37" s="14"/>
      <c r="K37" s="50"/>
      <c r="L37" s="12"/>
    </row>
    <row r="38" spans="1:12" ht="15.6" x14ac:dyDescent="0.3">
      <c r="A38" s="12"/>
      <c r="B38" s="46" t="s">
        <v>78</v>
      </c>
      <c r="C38" s="46"/>
      <c r="D38" s="50"/>
      <c r="E38" s="50">
        <f>(Budget!G47+Budget!J47/(1+E35)+Budget!M47/((1+E35)^2)+Budget!P47/((1+E35)^3)+Budget!P47/(1+E35)^4+Budget!P47/(1+E35)^5+Budget!P47/(1+E35)^6+Budget!P47/(1+E35)^7+Budget!P47/(1+E35)^8+Budget!P47/(1+E35)^9+Budget!P47/(1+E35)^10+Budget!P47/(1+E35)^11+Budget!P47/(1+E35)^12+Budget!P47/(1+E35)^13+Budget!P47/(1+E35)^14)</f>
        <v>10936.370661175961</v>
      </c>
      <c r="F38" s="12"/>
      <c r="G38" s="14"/>
      <c r="H38" s="14"/>
      <c r="I38" s="14"/>
      <c r="J38" s="14"/>
      <c r="K38" s="50"/>
      <c r="L38" s="12"/>
    </row>
    <row r="39" spans="1:12" ht="14.55" hidden="1" customHeight="1" x14ac:dyDescent="0.3">
      <c r="B39" s="12"/>
      <c r="C39" s="12"/>
      <c r="D39" s="12"/>
      <c r="E39" s="12"/>
      <c r="F39" s="12"/>
      <c r="G39" s="12"/>
      <c r="H39" s="12"/>
      <c r="I39" s="12"/>
      <c r="J39" s="12"/>
      <c r="K39" s="12"/>
    </row>
    <row r="41" spans="1:12" ht="32.1" hidden="1" customHeight="1" x14ac:dyDescent="0.3"/>
    <row r="42" spans="1:12" ht="15.6" hidden="1" x14ac:dyDescent="0.3">
      <c r="B42" s="135"/>
      <c r="C42" s="135"/>
      <c r="D42" s="135"/>
      <c r="E42" s="135"/>
      <c r="F42" s="135"/>
      <c r="G42" s="135"/>
      <c r="H42" s="135"/>
      <c r="I42" s="135"/>
      <c r="J42" s="135"/>
      <c r="K42" s="135"/>
    </row>
    <row r="43" spans="1:12" ht="15.6" hidden="1" x14ac:dyDescent="0.3">
      <c r="B43" s="135"/>
      <c r="C43" s="135"/>
      <c r="D43" s="135"/>
      <c r="E43" s="135"/>
      <c r="F43" s="135"/>
      <c r="G43" s="135"/>
      <c r="H43" s="135"/>
      <c r="I43" s="135"/>
      <c r="J43" s="135"/>
      <c r="K43" s="135"/>
    </row>
    <row r="44" spans="1:12" ht="15.6" hidden="1" x14ac:dyDescent="0.3">
      <c r="B44" s="17"/>
      <c r="C44" s="17"/>
      <c r="D44" s="17"/>
      <c r="E44" s="17"/>
      <c r="F44" s="17"/>
      <c r="G44" s="17"/>
      <c r="H44" s="17"/>
      <c r="I44" s="17"/>
      <c r="J44" s="17"/>
      <c r="K44" s="17"/>
    </row>
    <row r="45" spans="1:12" ht="15.6" hidden="1" x14ac:dyDescent="0.3">
      <c r="G45" s="15"/>
      <c r="H45" s="15"/>
      <c r="I45" s="15"/>
      <c r="J45" s="15"/>
      <c r="K45" s="15"/>
    </row>
    <row r="46" spans="1:12" ht="15.6" hidden="1" x14ac:dyDescent="0.3">
      <c r="G46" s="15"/>
      <c r="H46" s="15"/>
      <c r="I46" s="15"/>
      <c r="J46" s="15"/>
      <c r="K46" s="15"/>
    </row>
    <row r="47" spans="1:12" ht="15.6" hidden="1" x14ac:dyDescent="0.3">
      <c r="G47" s="15"/>
      <c r="H47" s="15"/>
      <c r="I47" s="15"/>
      <c r="J47" s="15"/>
      <c r="K47" s="15"/>
    </row>
    <row r="48" spans="1:12" ht="15.6" hidden="1" x14ac:dyDescent="0.3">
      <c r="G48" s="15"/>
      <c r="H48" s="15"/>
      <c r="I48" s="15"/>
      <c r="J48" s="15"/>
      <c r="K48" s="15"/>
    </row>
    <row r="49" spans="7:11" ht="15.6" hidden="1" x14ac:dyDescent="0.3">
      <c r="G49" s="15"/>
      <c r="H49" s="15"/>
      <c r="I49" s="15"/>
      <c r="J49" s="15"/>
      <c r="K49" s="15"/>
    </row>
  </sheetData>
  <sheetProtection sheet="1" objects="1" scenarios="1"/>
  <mergeCells count="15">
    <mergeCell ref="B1:K1"/>
    <mergeCell ref="B14:K14"/>
    <mergeCell ref="B42:K42"/>
    <mergeCell ref="B43:K43"/>
    <mergeCell ref="B29:K31"/>
    <mergeCell ref="B26:K26"/>
    <mergeCell ref="B6:B12"/>
    <mergeCell ref="E16:K16"/>
    <mergeCell ref="B18:B24"/>
    <mergeCell ref="B27:K27"/>
    <mergeCell ref="B2:K2"/>
    <mergeCell ref="B15:K15"/>
    <mergeCell ref="B28:K28"/>
    <mergeCell ref="B32:K32"/>
    <mergeCell ref="E3:K3"/>
  </mergeCells>
  <conditionalFormatting sqref="E6:K12">
    <cfRule type="cellIs" dxfId="1" priority="2" operator="lessThan">
      <formula>0</formula>
    </cfRule>
  </conditionalFormatting>
  <conditionalFormatting sqref="E18:K24">
    <cfRule type="cellIs" dxfId="0" priority="1" operator="lessThan">
      <formula>0</formula>
    </cfRule>
  </conditionalFormatting>
  <pageMargins left="0.7" right="0.7" top="0.75" bottom="0.75" header="0.3" footer="0.3"/>
  <pageSetup scale="8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feaba0f-363c-487a-9eab-504fb0ae0068">
      <Terms xmlns="http://schemas.microsoft.com/office/infopath/2007/PartnerControls"/>
    </lcf76f155ced4ddcb4097134ff3c332f>
    <TaxCatchAll xmlns="3cf54786-5cbe-4eed-9d82-be7bae57988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272BA2EC307A4F840456AFB3F4BF30" ma:contentTypeVersion="15" ma:contentTypeDescription="Create a new document." ma:contentTypeScope="" ma:versionID="e7135de11d12d073d7a6ede4b04666d3">
  <xsd:schema xmlns:xsd="http://www.w3.org/2001/XMLSchema" xmlns:xs="http://www.w3.org/2001/XMLSchema" xmlns:p="http://schemas.microsoft.com/office/2006/metadata/properties" xmlns:ns2="afeaba0f-363c-487a-9eab-504fb0ae0068" xmlns:ns3="3cf54786-5cbe-4eed-9d82-be7bae57988e" targetNamespace="http://schemas.microsoft.com/office/2006/metadata/properties" ma:root="true" ma:fieldsID="153500833204045ca796943900e2c449" ns2:_="" ns3:_="">
    <xsd:import namespace="afeaba0f-363c-487a-9eab-504fb0ae0068"/>
    <xsd:import namespace="3cf54786-5cbe-4eed-9d82-be7bae57988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eaba0f-363c-487a-9eab-504fb0ae00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f54786-5cbe-4eed-9d82-be7bae5798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2560828-92f4-433d-b2dd-f0bd0e5db71c}" ma:internalName="TaxCatchAll" ma:showField="CatchAllData" ma:web="3cf54786-5cbe-4eed-9d82-be7bae5798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E28324-32A9-4154-8247-D3B1E0DB2445}">
  <ds:schemaRefs>
    <ds:schemaRef ds:uri="http://schemas.microsoft.com/office/2006/metadata/properties"/>
    <ds:schemaRef ds:uri="http://schemas.microsoft.com/office/infopath/2007/PartnerControls"/>
    <ds:schemaRef ds:uri="afeaba0f-363c-487a-9eab-504fb0ae0068"/>
    <ds:schemaRef ds:uri="3cf54786-5cbe-4eed-9d82-be7bae57988e"/>
  </ds:schemaRefs>
</ds:datastoreItem>
</file>

<file path=customXml/itemProps2.xml><?xml version="1.0" encoding="utf-8"?>
<ds:datastoreItem xmlns:ds="http://schemas.openxmlformats.org/officeDocument/2006/customXml" ds:itemID="{803F0A06-9F9F-49EF-8C3D-05FBF50BAEB2}">
  <ds:schemaRefs>
    <ds:schemaRef ds:uri="http://schemas.microsoft.com/sharepoint/v3/contenttype/forms"/>
  </ds:schemaRefs>
</ds:datastoreItem>
</file>

<file path=customXml/itemProps3.xml><?xml version="1.0" encoding="utf-8"?>
<ds:datastoreItem xmlns:ds="http://schemas.openxmlformats.org/officeDocument/2006/customXml" ds:itemID="{40C5FB2E-A975-4361-AC71-F1F257ACC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feaba0f-363c-487a-9eab-504fb0ae0068"/>
    <ds:schemaRef ds:uri="3cf54786-5cbe-4eed-9d82-be7bae579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Introduction</vt:lpstr>
      <vt:lpstr>Budget</vt:lpstr>
      <vt:lpstr>Financial Sensitivity</vt:lpstr>
      <vt:lpstr>Budget!Print_Area</vt:lpstr>
      <vt:lpstr>'Financial Sensitivity'!Print_Area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Kruse</dc:creator>
  <cp:keywords/>
  <dc:description/>
  <cp:lastModifiedBy>Jackson, Lauren</cp:lastModifiedBy>
  <cp:revision/>
  <cp:lastPrinted>2025-08-08T02:34:47Z</cp:lastPrinted>
  <dcterms:created xsi:type="dcterms:W3CDTF">2020-07-30T17:48:44Z</dcterms:created>
  <dcterms:modified xsi:type="dcterms:W3CDTF">2025-11-05T17:48:24Z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0x010100CE272BA2EC307A4F840456AFB3F4BF30</vt:lpwstr>
  </property>
  <property fmtid="{D5CDD505-2E9C-101B-9397-08002B2CF9AE}" pid="3" name="MediaServiceImageTags">
    <vt:lpwstr/>
  </property>
</Properties>
</file>