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ilmissouri-my.sharepoint.com/personal/jacksonla_umsystem_edu/Documents/Desktop/Desktop 3-28/Website/FruitsandVeggies Project/New spreadsheets Sept 2025/"/>
    </mc:Choice>
  </mc:AlternateContent>
  <xr:revisionPtr revIDLastSave="1203" documentId="8_{17EA8F40-1BFD-4775-B660-129718E3041E}" xr6:coauthVersionLast="47" xr6:coauthVersionMax="47" xr10:uidLastSave="{72E5AC93-67F4-4DC4-916E-AD3CF4CD548C}"/>
  <workbookProtection lockStructure="1"/>
  <bookViews>
    <workbookView xWindow="5064" yWindow="840" windowWidth="17328" windowHeight="10296"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Budget!$B$2:$V$1048576</definedName>
    <definedName name="_xlnm.Print_Area" localSheetId="2">'Financial Sensitivity'!$B$1:$K$38</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V18" i="1"/>
  <c r="V17" i="1"/>
  <c r="V16" i="1"/>
  <c r="V15" i="1"/>
  <c r="V14" i="1"/>
  <c r="S18" i="1"/>
  <c r="S17" i="1"/>
  <c r="S16" i="1"/>
  <c r="S15" i="1"/>
  <c r="S14" i="1"/>
  <c r="P18" i="1"/>
  <c r="P17" i="1"/>
  <c r="P16" i="1"/>
  <c r="P15" i="1"/>
  <c r="P14" i="1"/>
  <c r="M18" i="1"/>
  <c r="M17" i="1"/>
  <c r="M16" i="1"/>
  <c r="M15" i="1"/>
  <c r="M14" i="1"/>
  <c r="J18" i="1"/>
  <c r="J17" i="1"/>
  <c r="J16" i="1"/>
  <c r="J15" i="1"/>
  <c r="J14" i="1"/>
  <c r="G15" i="1"/>
  <c r="G16" i="1"/>
  <c r="G17" i="1"/>
  <c r="G18" i="1"/>
  <c r="G14" i="1"/>
  <c r="H5" i="4" l="1"/>
  <c r="V34" i="1"/>
  <c r="V33" i="1"/>
  <c r="S34" i="1"/>
  <c r="S33" i="1"/>
  <c r="P34" i="1"/>
  <c r="P33" i="1"/>
  <c r="M34" i="1"/>
  <c r="J34" i="1"/>
  <c r="G34" i="1"/>
  <c r="V11" i="1"/>
  <c r="S11" i="1"/>
  <c r="P11" i="1"/>
  <c r="V12" i="1"/>
  <c r="S12" i="1"/>
  <c r="P12" i="1"/>
  <c r="M12" i="1"/>
  <c r="J12" i="1"/>
  <c r="G12" i="1"/>
  <c r="G11" i="1"/>
  <c r="V24" i="1"/>
  <c r="S24" i="1"/>
  <c r="P24" i="1"/>
  <c r="M24" i="1"/>
  <c r="J24" i="1"/>
  <c r="G24" i="1"/>
  <c r="G23" i="1"/>
  <c r="V22" i="1"/>
  <c r="S22" i="1"/>
  <c r="V23" i="1"/>
  <c r="S23" i="1"/>
  <c r="P23" i="1"/>
  <c r="M23" i="1"/>
  <c r="J23" i="1"/>
  <c r="V10" i="1"/>
  <c r="S10" i="1"/>
  <c r="P10" i="1"/>
  <c r="M10" i="1"/>
  <c r="J10" i="1"/>
  <c r="G10" i="1"/>
  <c r="V25" i="1"/>
  <c r="V32" i="1"/>
  <c r="V31" i="1"/>
  <c r="S25" i="1"/>
  <c r="S32" i="1"/>
  <c r="S31" i="1"/>
  <c r="P31" i="1"/>
  <c r="V39" i="1"/>
  <c r="S39" i="1"/>
  <c r="P39" i="1"/>
  <c r="M39" i="1"/>
  <c r="J39" i="1"/>
  <c r="G39" i="1"/>
  <c r="V38" i="1"/>
  <c r="S38" i="1"/>
  <c r="P38" i="1"/>
  <c r="M38" i="1"/>
  <c r="J38" i="1"/>
  <c r="G38" i="1"/>
  <c r="V9" i="1"/>
  <c r="S9" i="1"/>
  <c r="G9" i="1"/>
  <c r="S29" i="1" l="1"/>
  <c r="V29" i="1"/>
  <c r="S41" i="1"/>
  <c r="V41" i="1"/>
  <c r="S5" i="1" l="1"/>
  <c r="V5" i="1"/>
  <c r="V6" i="1" s="1"/>
  <c r="I5" i="4"/>
  <c r="U35" i="1" l="1"/>
  <c r="V35" i="1" s="1"/>
  <c r="J5" i="4"/>
  <c r="K5" i="4"/>
  <c r="G5" i="4"/>
  <c r="F5" i="4"/>
  <c r="E5" i="4"/>
  <c r="D8" i="4"/>
  <c r="D10" i="4"/>
  <c r="D11" i="4"/>
  <c r="D7" i="4"/>
  <c r="D12" i="4"/>
  <c r="D6" i="4"/>
  <c r="P41" i="1" l="1"/>
  <c r="M41" i="1"/>
  <c r="J41" i="1"/>
  <c r="G41" i="1"/>
  <c r="M33" i="1" l="1"/>
  <c r="J33" i="1"/>
  <c r="P25" i="1"/>
  <c r="P32" i="1"/>
  <c r="M25" i="1"/>
  <c r="M32" i="1"/>
  <c r="M31" i="1"/>
  <c r="J25" i="1"/>
  <c r="J32" i="1"/>
  <c r="J31" i="1"/>
  <c r="G25" i="1"/>
  <c r="G29" i="1" s="1"/>
  <c r="G32" i="1"/>
  <c r="G31" i="1"/>
  <c r="P22" i="1"/>
  <c r="M22" i="1"/>
  <c r="J22" i="1"/>
  <c r="G22" i="1"/>
  <c r="M11" i="1"/>
  <c r="J11" i="1"/>
  <c r="P9" i="1"/>
  <c r="P29" i="1" s="1"/>
  <c r="M9" i="1"/>
  <c r="J9" i="1"/>
  <c r="P5" i="1"/>
  <c r="M5" i="1"/>
  <c r="J5" i="1"/>
  <c r="G5" i="1"/>
  <c r="S6" i="1" s="1"/>
  <c r="R35" i="1" s="1"/>
  <c r="S35" i="1" s="1"/>
  <c r="J29" i="1" l="1"/>
  <c r="M29" i="1"/>
  <c r="G33" i="1"/>
  <c r="P6" i="1"/>
  <c r="M6" i="1"/>
  <c r="J6" i="1"/>
  <c r="G6" i="1"/>
  <c r="I35" i="1" l="1"/>
  <c r="J35" i="1" s="1"/>
  <c r="O35" i="1"/>
  <c r="L35" i="1"/>
  <c r="M35" i="1" s="1"/>
  <c r="F35" i="1"/>
  <c r="G35" i="1" s="1"/>
  <c r="P35" i="1" l="1"/>
  <c r="P36" i="1" s="1"/>
  <c r="G36" i="1"/>
  <c r="G42" i="1" s="1"/>
  <c r="M36" i="1"/>
  <c r="M42" i="1" s="1"/>
  <c r="M44" i="1" s="1"/>
  <c r="J36" i="1" l="1"/>
  <c r="J42" i="1" s="1"/>
  <c r="J44" i="1" s="1"/>
  <c r="G44" i="1"/>
  <c r="G43" i="1"/>
  <c r="P42" i="1"/>
  <c r="P44" i="1" s="1"/>
  <c r="M43" i="1"/>
  <c r="P43" i="1"/>
  <c r="J43" i="1" l="1"/>
  <c r="S36" i="1"/>
  <c r="S42" i="1" s="1"/>
  <c r="S44" i="1" s="1"/>
  <c r="S43" i="1" l="1"/>
  <c r="V36" i="1"/>
  <c r="H24" i="4" l="1"/>
  <c r="I20" i="4"/>
  <c r="H19" i="4"/>
  <c r="K24" i="4"/>
  <c r="I19" i="4"/>
  <c r="H18" i="4"/>
  <c r="H23" i="4"/>
  <c r="I18" i="4"/>
  <c r="G24" i="4"/>
  <c r="K23" i="4"/>
  <c r="K19" i="4"/>
  <c r="H22" i="4"/>
  <c r="G23" i="4"/>
  <c r="K22" i="4"/>
  <c r="G22" i="4"/>
  <c r="H21" i="4"/>
  <c r="G21" i="4"/>
  <c r="K21" i="4"/>
  <c r="G20" i="4"/>
  <c r="H20" i="4"/>
  <c r="G19" i="4"/>
  <c r="G18" i="4"/>
  <c r="K18" i="4"/>
  <c r="F24" i="4"/>
  <c r="J23" i="4"/>
  <c r="F22" i="4"/>
  <c r="J22" i="4"/>
  <c r="F21" i="4"/>
  <c r="J21" i="4"/>
  <c r="F20" i="4"/>
  <c r="J20" i="4"/>
  <c r="F19" i="4"/>
  <c r="J19" i="4"/>
  <c r="F18" i="4"/>
  <c r="J18" i="4"/>
  <c r="I24" i="4"/>
  <c r="I23" i="4"/>
  <c r="I22" i="4"/>
  <c r="I21" i="4"/>
  <c r="E20" i="4"/>
  <c r="K20" i="4"/>
  <c r="J24" i="4"/>
  <c r="F23" i="4"/>
  <c r="E24" i="4"/>
  <c r="E23" i="4"/>
  <c r="E22" i="4"/>
  <c r="E21" i="4"/>
  <c r="V43" i="1"/>
  <c r="V42" i="1"/>
  <c r="E19" i="4"/>
  <c r="E18" i="4"/>
  <c r="V44" i="1" l="1"/>
  <c r="H9" i="4"/>
  <c r="I9" i="4"/>
  <c r="F9" i="4"/>
  <c r="E12" i="4"/>
  <c r="G8" i="4"/>
  <c r="H10" i="4"/>
  <c r="F11" i="4"/>
  <c r="E8" i="4"/>
  <c r="K12" i="4"/>
  <c r="K9" i="4"/>
  <c r="G12" i="4"/>
  <c r="K8" i="4"/>
  <c r="I12" i="4"/>
  <c r="J9" i="4"/>
  <c r="I6" i="4"/>
  <c r="H7" i="4"/>
  <c r="G7" i="4"/>
  <c r="K6" i="4"/>
  <c r="J6" i="4"/>
  <c r="F6" i="4"/>
  <c r="I7" i="4"/>
  <c r="E11" i="4"/>
  <c r="K11" i="4"/>
  <c r="J11" i="4"/>
  <c r="G10" i="4"/>
  <c r="G11" i="4"/>
  <c r="I10" i="4"/>
  <c r="H12" i="4"/>
  <c r="F8" i="4"/>
  <c r="E9" i="4"/>
  <c r="F12" i="4"/>
  <c r="I8" i="4"/>
  <c r="G9" i="4"/>
  <c r="E7" i="4"/>
  <c r="E6" i="4"/>
  <c r="J7" i="4"/>
  <c r="K7" i="4"/>
  <c r="F7" i="4"/>
  <c r="G6" i="4"/>
  <c r="K10" i="4"/>
  <c r="J10" i="4"/>
  <c r="F10" i="4"/>
  <c r="E10" i="4"/>
  <c r="I11" i="4"/>
  <c r="H11" i="4"/>
  <c r="J8" i="4"/>
  <c r="J12" i="4"/>
  <c r="H8" i="4"/>
  <c r="H6" i="4"/>
  <c r="E36" i="4" l="1"/>
  <c r="E37" i="4"/>
  <c r="E38" i="4"/>
</calcChain>
</file>

<file path=xl/sharedStrings.xml><?xml version="1.0" encoding="utf-8"?>
<sst xmlns="http://schemas.openxmlformats.org/spreadsheetml/2006/main" count="176" uniqueCount="103">
  <si>
    <t>Updated: 1/2025</t>
  </si>
  <si>
    <t>This worksheet is for educational purposes only and the user assumes all risks associated with its use.</t>
  </si>
  <si>
    <t>Revenue</t>
  </si>
  <si>
    <t>Unit</t>
  </si>
  <si>
    <t>Price
per unit</t>
  </si>
  <si>
    <t xml:space="preserve"> Quantity</t>
  </si>
  <si>
    <t>Dollars 
per acre</t>
  </si>
  <si>
    <t>Dollars
per acre</t>
  </si>
  <si>
    <t>each</t>
  </si>
  <si>
    <t>soil test</t>
  </si>
  <si>
    <t>acre</t>
  </si>
  <si>
    <t xml:space="preserve">  Fertilizer/lime</t>
  </si>
  <si>
    <t>pound</t>
  </si>
  <si>
    <t xml:space="preserve">  Fungicides</t>
  </si>
  <si>
    <t xml:space="preserve">  Insecticides</t>
  </si>
  <si>
    <t xml:space="preserve">  Herbicides</t>
  </si>
  <si>
    <t xml:space="preserve">  Drip tape</t>
  </si>
  <si>
    <t>feet</t>
  </si>
  <si>
    <t xml:space="preserve">    Marketing </t>
  </si>
  <si>
    <t>percent</t>
  </si>
  <si>
    <t xml:space="preserve">  Land</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</si>
  <si>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</si>
  <si>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</si>
  <si>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</si>
  <si>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</si>
  <si>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</si>
  <si>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</si>
  <si>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</si>
  <si>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</si>
  <si>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</si>
  <si>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</si>
  <si>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</si>
  <si>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</si>
  <si>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</si>
  <si>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</si>
  <si>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</si>
  <si>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</si>
  <si>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</si>
  <si>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</si>
  <si>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</si>
  <si>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</si>
  <si>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</si>
  <si>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Average Returns Per Year and Net Present Values in Years 8, 10 and 15</t>
  </si>
  <si>
    <t>Required rate of return</t>
  </si>
  <si>
    <t xml:space="preserve">  NPV years 1-10</t>
  </si>
  <si>
    <t xml:space="preserve">  NPV years 1-15</t>
  </si>
  <si>
    <t xml:space="preserve">Will this business be profitable? Explore profitability with net present values and average returns per year. </t>
  </si>
  <si>
    <t>Develop a customized budget by adjusting the assumptions in gray cells to match the management practices and expected yields and prices for your farm.</t>
  </si>
  <si>
    <t xml:space="preserve">Explore estimated annual per acre returns over total costs under varying revenue and cost scenarios in full production. </t>
  </si>
  <si>
    <t>% of sales</t>
  </si>
  <si>
    <t xml:space="preserve">Budget created by Peter Zimmel, Food and Agricultural Policy Institute (FAPRI). Prices were updated January 2025. Access online at muext.us/MissouriAgBudgets. </t>
  </si>
  <si>
    <t xml:space="preserve">  Irrigation</t>
  </si>
  <si>
    <t xml:space="preserve">  Machinery and equipment</t>
  </si>
  <si>
    <t xml:space="preserve">  Tree guards</t>
  </si>
  <si>
    <t>month</t>
  </si>
  <si>
    <t xml:space="preserve">  Soil test</t>
  </si>
  <si>
    <t xml:space="preserve">  Pollination</t>
  </si>
  <si>
    <t xml:space="preserve">    Operator labor</t>
  </si>
  <si>
    <t xml:space="preserve">  General labor</t>
  </si>
  <si>
    <t xml:space="preserve">    Harvest labor</t>
  </si>
  <si>
    <t xml:space="preserve">    Refrigeration </t>
  </si>
  <si>
    <t xml:space="preserve">Preharvest </t>
  </si>
  <si>
    <t>Harvest</t>
  </si>
  <si>
    <t xml:space="preserve">  Interest on operating capital</t>
  </si>
  <si>
    <t>Price per bushel</t>
  </si>
  <si>
    <t xml:space="preserve">Apple Enterprise Budget for Missouri </t>
  </si>
  <si>
    <t>Apple Enterprise Budget</t>
  </si>
  <si>
    <t>This budget models a 1-acre open field production of apples from establishment through 3 years of production. During the seventh year after planting, this perennial crop is assumed to reach full yield potential. Continual production is modeled through 15 years to discuss average returns per year and net present value of returns.</t>
  </si>
  <si>
    <t xml:space="preserve"> Apple sales</t>
  </si>
  <si>
    <t xml:space="preserve">  Apple trees</t>
  </si>
  <si>
    <t xml:space="preserve">  Fescue seed</t>
  </si>
  <si>
    <t xml:space="preserve">  Facilities and equipment</t>
  </si>
  <si>
    <t>bushel</t>
  </si>
  <si>
    <t xml:space="preserve">    Bags (10-pound plastic)</t>
  </si>
  <si>
    <t xml:space="preserve">     Nitrogen</t>
  </si>
  <si>
    <t xml:space="preserve">     Phosphorous</t>
  </si>
  <si>
    <t xml:space="preserve">     Potassium</t>
  </si>
  <si>
    <t xml:space="preserve">     Lime</t>
  </si>
  <si>
    <t xml:space="preserve">     Calcium chloride</t>
  </si>
  <si>
    <t>ton</t>
  </si>
  <si>
    <t>hour</t>
  </si>
  <si>
    <t xml:space="preserve">  Repairs</t>
  </si>
  <si>
    <t xml:space="preserve">  Fuel/oil/grease</t>
  </si>
  <si>
    <t xml:space="preserve">  Miscellaneous</t>
  </si>
  <si>
    <t>Apple Price and Yield Sensitivity Table</t>
  </si>
  <si>
    <t>Bushels per acre</t>
  </si>
  <si>
    <t xml:space="preserve">  NPV years 1-8</t>
  </si>
  <si>
    <t>Year 1 
site preparation</t>
  </si>
  <si>
    <t>Year 2 
planting year</t>
  </si>
  <si>
    <t>Year 3 &amp; 4 
growing years</t>
  </si>
  <si>
    <t>Year 5
 first bearing year</t>
  </si>
  <si>
    <t>Year 6
 second bearing year</t>
  </si>
  <si>
    <t>Year 7
 third bearing year</t>
  </si>
  <si>
    <t xml:space="preserve">For budget questions, contact: </t>
  </si>
  <si>
    <t xml:space="preserve">For horticulture expertise, contact: </t>
  </si>
  <si>
    <t>Developed by: Peter Zimmel, FAPRI</t>
  </si>
  <si>
    <t>Ryan Milhollin, MU Extension</t>
  </si>
  <si>
    <t>MU Commercial Horticulture Team</t>
  </si>
  <si>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15 years after establishment the apple orchard is expected to return $20,801.30 in today's dollars factoring in a 6% required rate of return.</t>
    </r>
  </si>
  <si>
    <r>
      <rPr>
        <b/>
        <sz val="12"/>
        <color theme="1"/>
        <rFont val="Aptos"/>
        <family val="2"/>
        <scheme val="minor"/>
      </rPr>
      <t>Breakeven:</t>
    </r>
    <r>
      <rPr>
        <sz val="12"/>
        <color theme="1"/>
        <rFont val="Aptos"/>
        <family val="2"/>
        <scheme val="minor"/>
      </rPr>
      <t xml:space="preserve"> The modeled one acre apple orchard is expected to 'breakeven' (cover investment and operating costs) in year 8 (NPV becomes positive). </t>
    </r>
  </si>
  <si>
    <t>Explore annual profitability expectations (per acre returns over total costs) under varying yield and price scenarios in full production and holding costs constant. Modify gray cells for further exploration.</t>
  </si>
  <si>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apple orchard to other investments. It is used to calculate a discount rate in the NPV formula which also accounts for the time value of money (assuming inflation continues - dollars received in the future are worth less than dollars received today). </t>
    </r>
  </si>
  <si>
    <t>Apple Operating Costs and Revenue Sensitivity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</si>
</sst>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8"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u/>
      <sz val="12"/>
      <name val="Aptos"/>
      <family val="2"/>
      <scheme val="minor"/>
    </font>
    <font>
      <b/>
      <sz val="12"/>
      <color rgb="FFF1B82D"/>
      <name val="Aptos Black"/>
      <family val="2"/>
      <scheme val="major"/>
    </font>
    <font>
      <u/>
      <sz val="11"/>
      <color theme="10"/>
      <name val="Aptos"/>
      <family val="2"/>
      <scheme val="minor"/>
    </font>
    <font>
      <b/>
      <sz val="11"/>
      <color theme="1"/>
      <name val="Segoe UI"/>
      <family val="2"/>
    </font>
    <font>
      <b/>
      <u/>
      <sz val="12"/>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5" fillId="0" borderId="0" applyNumberFormat="0" applyFill="0" applyBorder="0" applyAlignment="0" applyProtection="0"/>
  </cellStyleXfs>
  <cellXfs count="144">
    <xf numFmtId="0" fontId="0" fillId="0" borderId="0" xfId="0"/>
    <xf numFmtId="0" fontId="2" fillId="0" borderId="0" xfId="0" applyFont="1"/>
    <xf numFmtId="0" fontId="11" fillId="5" borderId="0" xfId="0" applyFont="1" applyFill="1"/>
    <xf numFmtId="0" fontId="11" fillId="0" borderId="0" xfId="0" applyFont="1"/>
    <xf numFmtId="0" fontId="0" fillId="5" borderId="0" xfId="0" applyFill="1"/>
    <xf numFmtId="0" fontId="3" fillId="5" borderId="0" xfId="0" applyFont="1" applyFill="1" applyAlignment="1">
      <alignment horizontal="left" indent="4"/>
    </xf>
    <xf numFmtId="0" fontId="13" fillId="5" borderId="0" xfId="0" applyFont="1" applyFill="1"/>
    <xf numFmtId="0" fontId="13" fillId="0" borderId="0" xfId="0" applyFont="1"/>
    <xf numFmtId="0" fontId="13" fillId="0" borderId="0" xfId="0" applyFont="1" applyAlignment="1">
      <alignment wrapText="1"/>
    </xf>
    <xf numFmtId="0" fontId="0" fillId="0" borderId="0" xfId="0" applyAlignment="1">
      <alignment wrapText="1"/>
    </xf>
    <xf numFmtId="0" fontId="2" fillId="0" borderId="0" xfId="0" applyFont="1" applyAlignment="1">
      <alignment wrapText="1"/>
    </xf>
    <xf numFmtId="9" fontId="0" fillId="0" borderId="0" xfId="1" applyFont="1" applyFill="1" applyBorder="1"/>
    <xf numFmtId="0" fontId="8" fillId="0" borderId="0" xfId="0" applyFont="1"/>
    <xf numFmtId="0" fontId="0" fillId="0" borderId="0" xfId="0" applyAlignment="1">
      <alignment horizontal="right"/>
    </xf>
    <xf numFmtId="164" fontId="0" fillId="0" borderId="0" xfId="0" applyNumberFormat="1"/>
    <xf numFmtId="0" fontId="5" fillId="5" borderId="0" xfId="0" applyFont="1" applyFill="1"/>
    <xf numFmtId="164" fontId="13" fillId="2" borderId="0" xfId="4" applyNumberFormat="1" applyFont="1" applyFill="1" applyProtection="1">
      <protection locked="0"/>
    </xf>
    <xf numFmtId="166" fontId="13" fillId="2" borderId="0" xfId="0" applyNumberFormat="1" applyFont="1" applyFill="1" applyProtection="1">
      <protection locked="0"/>
    </xf>
    <xf numFmtId="9" fontId="13" fillId="2" borderId="0" xfId="1" applyFont="1" applyFill="1" applyProtection="1">
      <protection locked="0"/>
    </xf>
    <xf numFmtId="10" fontId="13" fillId="2" borderId="0" xfId="0" applyNumberFormat="1" applyFont="1" applyFill="1" applyProtection="1">
      <protection locked="0"/>
    </xf>
    <xf numFmtId="164" fontId="13" fillId="2" borderId="0" xfId="0" applyNumberFormat="1" applyFont="1" applyFill="1" applyProtection="1">
      <protection locked="0"/>
    </xf>
    <xf numFmtId="165" fontId="13" fillId="2" borderId="0" xfId="0" applyNumberFormat="1" applyFont="1" applyFill="1" applyProtection="1">
      <protection locked="0"/>
    </xf>
    <xf numFmtId="164" fontId="13" fillId="2" borderId="2" xfId="0" applyNumberFormat="1" applyFont="1" applyFill="1" applyBorder="1" applyProtection="1">
      <protection locked="0"/>
    </xf>
    <xf numFmtId="0" fontId="0" fillId="0" borderId="2" xfId="0" applyBorder="1"/>
    <xf numFmtId="0" fontId="0" fillId="0" borderId="11" xfId="0" applyBorder="1"/>
    <xf numFmtId="3" fontId="13" fillId="2" borderId="1" xfId="0" applyNumberFormat="1" applyFont="1" applyFill="1" applyBorder="1" applyProtection="1">
      <protection locked="0"/>
    </xf>
    <xf numFmtId="7" fontId="13" fillId="2" borderId="21" xfId="4" applyNumberFormat="1" applyFont="1" applyFill="1" applyBorder="1" applyAlignment="1" applyProtection="1">
      <alignment horizontal="center"/>
      <protection locked="0"/>
    </xf>
    <xf numFmtId="6" fontId="13" fillId="0" borderId="11" xfId="4" applyNumberFormat="1" applyFont="1" applyBorder="1" applyProtection="1"/>
    <xf numFmtId="7" fontId="13" fillId="0" borderId="21" xfId="4" applyNumberFormat="1" applyFont="1" applyBorder="1" applyAlignment="1" applyProtection="1">
      <alignment horizontal="center"/>
    </xf>
    <xf numFmtId="6" fontId="19" fillId="0" borderId="12" xfId="4" applyNumberFormat="1" applyFont="1" applyBorder="1" applyProtection="1"/>
    <xf numFmtId="6" fontId="19" fillId="0" borderId="0" xfId="4" applyNumberFormat="1" applyFont="1" applyBorder="1" applyProtection="1"/>
    <xf numFmtId="6" fontId="13" fillId="0" borderId="0" xfId="4" applyNumberFormat="1" applyFont="1" applyBorder="1" applyProtection="1"/>
    <xf numFmtId="6" fontId="13" fillId="0" borderId="13" xfId="4" applyNumberFormat="1" applyFont="1" applyBorder="1" applyProtection="1"/>
    <xf numFmtId="6" fontId="13" fillId="0" borderId="20" xfId="4" applyNumberFormat="1" applyFont="1" applyBorder="1" applyProtection="1"/>
    <xf numFmtId="7" fontId="13" fillId="0" borderId="22" xfId="4" applyNumberFormat="1" applyFont="1" applyBorder="1" applyAlignment="1" applyProtection="1">
      <alignment horizontal="center"/>
    </xf>
    <xf numFmtId="6" fontId="19" fillId="0" borderId="15" xfId="4" applyNumberFormat="1" applyFont="1" applyBorder="1" applyProtection="1"/>
    <xf numFmtId="6" fontId="19" fillId="0" borderId="2" xfId="4" applyNumberFormat="1" applyFont="1" applyBorder="1" applyProtection="1"/>
    <xf numFmtId="6" fontId="13" fillId="0" borderId="2" xfId="4" applyNumberFormat="1" applyFont="1" applyBorder="1" applyProtection="1"/>
    <xf numFmtId="6" fontId="13" fillId="0" borderId="14" xfId="4" applyNumberFormat="1" applyFont="1" applyBorder="1" applyProtection="1"/>
    <xf numFmtId="6" fontId="13" fillId="0" borderId="16" xfId="4" applyNumberFormat="1" applyFont="1" applyBorder="1" applyProtection="1"/>
    <xf numFmtId="6" fontId="19" fillId="0" borderId="11" xfId="4" applyNumberFormat="1" applyFont="1" applyFill="1" applyBorder="1" applyProtection="1"/>
    <xf numFmtId="6" fontId="19" fillId="0" borderId="18" xfId="4" applyNumberFormat="1" applyFont="1" applyFill="1" applyBorder="1" applyProtection="1"/>
    <xf numFmtId="6" fontId="13" fillId="0" borderId="12" xfId="4" applyNumberFormat="1" applyFont="1" applyBorder="1" applyProtection="1"/>
    <xf numFmtId="6" fontId="19" fillId="0" borderId="0" xfId="4" applyNumberFormat="1" applyFont="1" applyFill="1" applyBorder="1" applyProtection="1"/>
    <xf numFmtId="6" fontId="19" fillId="0" borderId="13" xfId="4" applyNumberFormat="1" applyFont="1" applyFill="1" applyBorder="1" applyProtection="1"/>
    <xf numFmtId="6" fontId="19" fillId="0" borderId="20" xfId="4" applyNumberFormat="1" applyFont="1" applyFill="1" applyBorder="1" applyProtection="1"/>
    <xf numFmtId="6" fontId="13" fillId="0" borderId="15" xfId="4" applyNumberFormat="1" applyFont="1" applyBorder="1" applyProtection="1"/>
    <xf numFmtId="6" fontId="19" fillId="0" borderId="2" xfId="4" applyNumberFormat="1" applyFont="1" applyFill="1" applyBorder="1" applyProtection="1"/>
    <xf numFmtId="6" fontId="19" fillId="0" borderId="14" xfId="4" applyNumberFormat="1" applyFont="1" applyFill="1" applyBorder="1" applyProtection="1"/>
    <xf numFmtId="9" fontId="13" fillId="5" borderId="0" xfId="1" applyFont="1" applyFill="1" applyProtection="1"/>
    <xf numFmtId="9" fontId="13" fillId="5" borderId="0" xfId="1" applyFont="1" applyFill="1" applyBorder="1" applyProtection="1"/>
    <xf numFmtId="164" fontId="13" fillId="0" borderId="0" xfId="4" applyNumberFormat="1" applyFont="1" applyProtection="1"/>
    <xf numFmtId="0" fontId="13" fillId="5" borderId="0" xfId="0" applyFont="1" applyFill="1" applyAlignment="1">
      <alignment horizontal="right"/>
    </xf>
    <xf numFmtId="0" fontId="13" fillId="3" borderId="16" xfId="0" applyFont="1" applyFill="1" applyBorder="1"/>
    <xf numFmtId="0" fontId="13" fillId="3" borderId="11" xfId="0" applyFont="1" applyFill="1" applyBorder="1"/>
    <xf numFmtId="0" fontId="13" fillId="3" borderId="12" xfId="0" applyFont="1" applyFill="1" applyBorder="1"/>
    <xf numFmtId="0" fontId="20" fillId="3" borderId="12" xfId="0" applyFont="1" applyFill="1" applyBorder="1" applyAlignment="1">
      <alignment horizontal="center" textRotation="90"/>
    </xf>
    <xf numFmtId="3" fontId="13" fillId="0" borderId="1" xfId="0" applyNumberFormat="1" applyFont="1" applyBorder="1"/>
    <xf numFmtId="3" fontId="13" fillId="0" borderId="24" xfId="0" applyNumberFormat="1" applyFont="1" applyBorder="1"/>
    <xf numFmtId="0" fontId="19" fillId="5" borderId="12" xfId="0" applyFont="1" applyFill="1" applyBorder="1" applyAlignment="1">
      <alignment horizontal="left" vertical="center"/>
    </xf>
    <xf numFmtId="9" fontId="19" fillId="5" borderId="12" xfId="0" applyNumberFormat="1" applyFont="1" applyFill="1" applyBorder="1" applyAlignment="1">
      <alignment horizontal="left" vertical="center"/>
    </xf>
    <xf numFmtId="0" fontId="19" fillId="5" borderId="15" xfId="0" applyFont="1" applyFill="1" applyBorder="1" applyAlignment="1">
      <alignment horizontal="left" vertical="center"/>
    </xf>
    <xf numFmtId="0" fontId="13" fillId="3" borderId="26" xfId="0" applyFont="1" applyFill="1" applyBorder="1"/>
    <xf numFmtId="0" fontId="18" fillId="3" borderId="19" xfId="0" applyFont="1" applyFill="1" applyBorder="1"/>
    <xf numFmtId="3" fontId="13" fillId="0" borderId="1" xfId="0" applyNumberFormat="1" applyFont="1" applyBorder="1" applyAlignment="1">
      <alignment horizontal="right"/>
    </xf>
    <xf numFmtId="3" fontId="13" fillId="0" borderId="24" xfId="0" applyNumberFormat="1" applyFont="1" applyBorder="1" applyAlignment="1">
      <alignment horizontal="right"/>
    </xf>
    <xf numFmtId="0" fontId="20" fillId="3" borderId="12" xfId="0" applyFont="1" applyFill="1" applyBorder="1" applyAlignment="1">
      <alignment horizontal="center" vertical="center" textRotation="90"/>
    </xf>
    <xf numFmtId="2" fontId="13" fillId="0" borderId="17" xfId="0" applyNumberFormat="1" applyFont="1" applyBorder="1" applyAlignment="1">
      <alignment horizontal="left"/>
    </xf>
    <xf numFmtId="0" fontId="20" fillId="3" borderId="15" xfId="0" applyFont="1" applyFill="1" applyBorder="1" applyAlignment="1">
      <alignment horizontal="center" vertical="center" textRotation="90"/>
    </xf>
    <xf numFmtId="2" fontId="13" fillId="0" borderId="27" xfId="0" applyNumberFormat="1" applyFont="1" applyBorder="1" applyAlignment="1">
      <alignment horizontal="left"/>
    </xf>
    <xf numFmtId="0" fontId="13" fillId="5" borderId="0" xfId="0" applyFont="1" applyFill="1" applyAlignment="1">
      <alignment horizontal="left"/>
    </xf>
    <xf numFmtId="0" fontId="14" fillId="5" borderId="0" xfId="0" applyFont="1" applyFill="1"/>
    <xf numFmtId="164" fontId="13" fillId="5" borderId="0" xfId="0" applyNumberFormat="1" applyFont="1" applyFill="1"/>
    <xf numFmtId="0" fontId="5" fillId="0" borderId="0" xfId="0" applyFont="1"/>
    <xf numFmtId="0" fontId="6" fillId="0" borderId="0" xfId="0" applyFont="1"/>
    <xf numFmtId="0" fontId="19" fillId="0" borderId="0" xfId="0" applyFont="1"/>
    <xf numFmtId="0" fontId="4" fillId="0" borderId="0" xfId="0" applyFont="1"/>
    <xf numFmtId="0" fontId="16" fillId="0" borderId="0" xfId="0" applyFont="1"/>
    <xf numFmtId="0" fontId="17" fillId="0" borderId="1" xfId="0" applyFont="1" applyBorder="1"/>
    <xf numFmtId="0" fontId="7" fillId="0" borderId="1" xfId="0" applyFont="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center" wrapText="1"/>
    </xf>
    <xf numFmtId="0" fontId="17" fillId="0" borderId="0" xfId="0" applyFont="1"/>
    <xf numFmtId="0" fontId="17" fillId="0" borderId="0" xfId="0" applyFont="1" applyAlignment="1">
      <alignment horizontal="center"/>
    </xf>
    <xf numFmtId="0" fontId="9" fillId="0" borderId="0" xfId="0" applyFont="1"/>
    <xf numFmtId="164" fontId="13" fillId="0" borderId="2" xfId="0" applyNumberFormat="1" applyFont="1" applyBorder="1"/>
    <xf numFmtId="0" fontId="5" fillId="0" borderId="0" xfId="0" applyFont="1" applyAlignment="1">
      <alignment horizontal="right"/>
    </xf>
    <xf numFmtId="164" fontId="13" fillId="0" borderId="0" xfId="0" applyNumberFormat="1" applyFont="1"/>
    <xf numFmtId="0" fontId="23" fillId="0" borderId="0" xfId="0" applyFont="1"/>
    <xf numFmtId="0" fontId="7" fillId="0" borderId="0" xfId="0" applyFont="1" applyAlignment="1">
      <alignment horizontal="left" wrapText="1"/>
    </xf>
    <xf numFmtId="166" fontId="13" fillId="0" borderId="0" xfId="0" applyNumberFormat="1" applyFont="1"/>
    <xf numFmtId="165" fontId="13" fillId="0" borderId="0" xfId="0" applyNumberFormat="1" applyFont="1"/>
    <xf numFmtId="9" fontId="9" fillId="0" borderId="0" xfId="0" applyNumberFormat="1" applyFont="1" applyAlignment="1">
      <alignment horizontal="left"/>
    </xf>
    <xf numFmtId="9" fontId="13" fillId="0" borderId="0" xfId="0" applyNumberFormat="1" applyFont="1" applyAlignment="1">
      <alignment horizontal="left"/>
    </xf>
    <xf numFmtId="3" fontId="13" fillId="0" borderId="0" xfId="0" applyNumberFormat="1" applyFont="1"/>
    <xf numFmtId="0" fontId="5" fillId="0" borderId="2" xfId="0" applyFont="1" applyBorder="1" applyAlignment="1">
      <alignment horizontal="right"/>
    </xf>
    <xf numFmtId="0" fontId="13" fillId="0" borderId="2" xfId="0" applyFont="1" applyBorder="1"/>
    <xf numFmtId="0" fontId="2" fillId="0" borderId="2" xfId="0" applyFont="1" applyBorder="1"/>
    <xf numFmtId="0" fontId="13" fillId="0" borderId="3" xfId="0" applyFont="1" applyBorder="1"/>
    <xf numFmtId="164" fontId="13" fillId="0" borderId="3" xfId="0" applyNumberFormat="1" applyFont="1" applyBorder="1"/>
    <xf numFmtId="0" fontId="2" fillId="0" borderId="3" xfId="0" applyFont="1" applyBorder="1"/>
    <xf numFmtId="0" fontId="5" fillId="5" borderId="0" xfId="0" applyFont="1" applyFill="1" applyAlignment="1">
      <alignment horizontal="left" vertical="top" wrapText="1"/>
    </xf>
    <xf numFmtId="0" fontId="5" fillId="5" borderId="0" xfId="0" applyFont="1" applyFill="1" applyAlignment="1">
      <alignment horizontal="right" vertical="top" wrapText="1"/>
    </xf>
    <xf numFmtId="0" fontId="26" fillId="5" borderId="0" xfId="0" applyFont="1" applyFill="1"/>
    <xf numFmtId="0" fontId="26" fillId="0" borderId="0" xfId="0" applyFont="1"/>
    <xf numFmtId="0" fontId="27" fillId="5" borderId="0" xfId="5" applyFont="1" applyFill="1" applyAlignment="1">
      <alignment horizontal="left" vertical="top" wrapText="1"/>
    </xf>
    <xf numFmtId="0" fontId="13" fillId="3" borderId="0" xfId="0" applyFont="1" applyFill="1"/>
    <xf numFmtId="0" fontId="19" fillId="5" borderId="0" xfId="0" applyFont="1" applyFill="1" applyAlignment="1">
      <alignment horizontal="right"/>
    </xf>
    <xf numFmtId="0" fontId="19" fillId="5" borderId="13" xfId="0" applyFont="1" applyFill="1" applyBorder="1" applyAlignment="1">
      <alignment horizontal="right"/>
    </xf>
    <xf numFmtId="0" fontId="20" fillId="3" borderId="15" xfId="0" applyFont="1" applyFill="1" applyBorder="1" applyAlignment="1">
      <alignment horizontal="center" textRotation="90"/>
    </xf>
    <xf numFmtId="0" fontId="20" fillId="3" borderId="2" xfId="0" applyFont="1" applyFill="1" applyBorder="1" applyAlignment="1">
      <alignment horizontal="center" textRotation="90"/>
    </xf>
    <xf numFmtId="0" fontId="18" fillId="3" borderId="28" xfId="0" applyFont="1" applyFill="1" applyBorder="1"/>
    <xf numFmtId="0" fontId="13" fillId="3" borderId="18" xfId="0" applyFont="1" applyFill="1" applyBorder="1"/>
    <xf numFmtId="0" fontId="13" fillId="3" borderId="13" xfId="0" applyFont="1" applyFill="1" applyBorder="1"/>
    <xf numFmtId="0" fontId="12" fillId="3" borderId="5" xfId="0" applyFont="1" applyFill="1" applyBorder="1"/>
    <xf numFmtId="0" fontId="12" fillId="3" borderId="6" xfId="0" applyFont="1" applyFill="1" applyBorder="1"/>
    <xf numFmtId="0" fontId="22" fillId="3" borderId="5" xfId="3" applyFont="1" applyFill="1" applyBorder="1" applyAlignment="1">
      <alignment horizontal="center"/>
    </xf>
    <xf numFmtId="0" fontId="22" fillId="3" borderId="6" xfId="3" applyFont="1" applyFill="1" applyBorder="1" applyAlignment="1">
      <alignment horizontal="center"/>
    </xf>
    <xf numFmtId="0" fontId="22" fillId="3" borderId="7" xfId="3" applyFont="1" applyFill="1" applyBorder="1" applyAlignment="1">
      <alignment horizontal="center"/>
    </xf>
    <xf numFmtId="0" fontId="13" fillId="5" borderId="0" xfId="0" applyFont="1" applyFill="1" applyAlignment="1">
      <alignment horizontal="right"/>
    </xf>
    <xf numFmtId="0" fontId="0" fillId="5" borderId="0" xfId="0" applyFill="1"/>
    <xf numFmtId="0" fontId="13" fillId="5" borderId="0" xfId="0" applyFont="1" applyFill="1" applyAlignment="1">
      <alignment horizontal="left" vertical="top" wrapText="1"/>
    </xf>
    <xf numFmtId="0" fontId="15" fillId="4" borderId="8" xfId="2" applyFont="1" applyBorder="1" applyAlignment="1">
      <alignment horizontal="center" wrapText="1"/>
    </xf>
    <xf numFmtId="0" fontId="15" fillId="4" borderId="9" xfId="2" applyFont="1" applyBorder="1" applyAlignment="1">
      <alignment horizontal="center" wrapText="1"/>
    </xf>
    <xf numFmtId="0" fontId="15" fillId="4" borderId="10" xfId="2" applyFont="1" applyBorder="1" applyAlignment="1">
      <alignment horizontal="center" wrapText="1"/>
    </xf>
    <xf numFmtId="0" fontId="5" fillId="5" borderId="0" xfId="0" applyFont="1" applyFill="1" applyAlignment="1">
      <alignment horizontal="left" vertical="top" wrapText="1"/>
    </xf>
    <xf numFmtId="0" fontId="19" fillId="0" borderId="2" xfId="0" applyFont="1" applyBorder="1" applyAlignment="1">
      <alignment horizontal="center" wrapText="1"/>
    </xf>
    <xf numFmtId="0" fontId="5" fillId="0" borderId="0" xfId="0" applyFont="1" applyAlignment="1">
      <alignment horizontal="left" wrapText="1"/>
    </xf>
    <xf numFmtId="0" fontId="5" fillId="0" borderId="3" xfId="0" applyFont="1" applyBorder="1" applyAlignment="1">
      <alignment horizontal="left"/>
    </xf>
    <xf numFmtId="0" fontId="21" fillId="3" borderId="23" xfId="0" applyFont="1" applyFill="1" applyBorder="1" applyAlignment="1">
      <alignment horizontal="center" wrapText="1"/>
    </xf>
    <xf numFmtId="0" fontId="21" fillId="3" borderId="1" xfId="0" applyFont="1" applyFill="1" applyBorder="1" applyAlignment="1">
      <alignment horizontal="center" wrapText="1"/>
    </xf>
    <xf numFmtId="0" fontId="21" fillId="3" borderId="24" xfId="0" applyFont="1" applyFill="1" applyBorder="1" applyAlignment="1">
      <alignment horizontal="center" wrapText="1"/>
    </xf>
    <xf numFmtId="0" fontId="0" fillId="0" borderId="0" xfId="0" applyAlignment="1">
      <alignment horizontal="left" wrapText="1"/>
    </xf>
    <xf numFmtId="164" fontId="0" fillId="0" borderId="0" xfId="0" applyNumberFormat="1" applyAlignment="1">
      <alignment horizontal="right"/>
    </xf>
    <xf numFmtId="0" fontId="5" fillId="5" borderId="0" xfId="0" applyFont="1" applyFill="1" applyAlignment="1">
      <alignment horizontal="center"/>
    </xf>
    <xf numFmtId="0" fontId="13" fillId="0" borderId="0" xfId="0" applyFont="1" applyAlignment="1">
      <alignment horizontal="left"/>
    </xf>
    <xf numFmtId="0" fontId="13" fillId="5" borderId="0" xfId="0" applyFont="1" applyFill="1" applyAlignment="1">
      <alignment horizontal="left" wrapText="1"/>
    </xf>
    <xf numFmtId="0" fontId="24" fillId="3" borderId="21" xfId="0" applyFont="1" applyFill="1" applyBorder="1" applyAlignment="1">
      <alignment horizontal="center" vertical="center" textRotation="90"/>
    </xf>
    <xf numFmtId="0" fontId="24" fillId="3" borderId="22" xfId="0" applyFont="1" applyFill="1" applyBorder="1" applyAlignment="1">
      <alignment horizontal="center" vertical="center" textRotation="90"/>
    </xf>
    <xf numFmtId="0" fontId="24" fillId="3" borderId="25" xfId="0" applyFont="1" applyFill="1" applyBorder="1" applyAlignment="1">
      <alignment horizontal="center"/>
    </xf>
    <xf numFmtId="0" fontId="24" fillId="3" borderId="1" xfId="0" applyFont="1" applyFill="1" applyBorder="1" applyAlignment="1">
      <alignment horizontal="center"/>
    </xf>
    <xf numFmtId="0" fontId="24" fillId="3" borderId="24" xfId="0" applyFont="1" applyFill="1" applyBorder="1" applyAlignment="1">
      <alignment horizontal="center"/>
    </xf>
    <xf numFmtId="0" fontId="24" fillId="3" borderId="12" xfId="0" applyFont="1" applyFill="1" applyBorder="1" applyAlignment="1">
      <alignment horizontal="center" vertical="center" textRotation="90"/>
    </xf>
    <xf numFmtId="0" fontId="24" fillId="3" borderId="15" xfId="0" applyFont="1" applyFill="1" applyBorder="1" applyAlignment="1">
      <alignment horizontal="center" vertical="center" textRotation="90"/>
    </xf>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2486025</xdr:colOff>
      <xdr:row>3</xdr:row>
      <xdr:rowOff>136844</xdr:rowOff>
    </xdr:from>
    <xdr:to>
      <xdr:col>3</xdr:col>
      <xdr:colOff>2647950</xdr:colOff>
      <xdr:row>8</xdr:row>
      <xdr:rowOff>152400</xdr:rowOff>
    </xdr:to>
    <xdr:pic>
      <xdr:nvPicPr>
        <xdr:cNvPr id="3" name="Picture 2" descr="University of Missouri - Extension and Food &amp; Agricultural Policy Research Institute">
          <a:extLst>
            <a:ext uri="{FF2B5EF4-FFF2-40B4-BE49-F238E27FC236}">
              <a16:creationId xmlns:a16="http://schemas.microsoft.com/office/drawing/2014/main" id="{9FEC8CA0-7B3C-443A-597F-157A857A19A9}"/>
            </a:ext>
          </a:extLst>
        </xdr:cNvPr>
        <xdr:cNvPicPr>
          <a:picLocks noChangeAspect="1"/>
        </xdr:cNvPicPr>
      </xdr:nvPicPr>
      <xdr:blipFill>
        <a:blip xmlns:r="http://schemas.openxmlformats.org/officeDocument/2006/relationships" r:embed="rId1"/>
        <a:stretch>
          <a:fillRect/>
        </a:stretch>
      </xdr:blipFill>
      <xdr:spPr>
        <a:xfrm>
          <a:off x="5200650" y="813119"/>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40"/>
  <sheetViews>
    <sheetView tabSelected="1" zoomScaleNormal="100" workbookViewId="0"/>
  </sheetViews>
  <sheetFormatPr defaultColWidth="0" defaultRowHeight="16.5" customHeight="1" zeroHeight="1" x14ac:dyDescent="0.4"/>
  <cols>
    <col min="1" max="1" width="2.796875" style="3" customWidth="1"/>
    <col min="2" max="2" width="34.09765625" style="3" customWidth="1"/>
    <col min="3" max="3" width="34.59765625" style="3" customWidth="1"/>
    <col min="4" max="4" width="36.59765625" style="3" customWidth="1"/>
    <col min="5" max="5" width="3" style="3" customWidth="1"/>
    <col min="6" max="8" width="9" style="3" hidden="1" customWidth="1"/>
    <col min="9" max="13" width="0" style="3" hidden="1" customWidth="1"/>
    <col min="14" max="16384" width="9" style="3" hidden="1"/>
  </cols>
  <sheetData>
    <row r="1" spans="1:13" ht="17.399999999999999" thickBot="1" x14ac:dyDescent="0.45">
      <c r="A1" s="2"/>
      <c r="B1" s="4"/>
      <c r="C1" s="4"/>
      <c r="D1" s="4"/>
      <c r="E1" s="2"/>
      <c r="F1" s="2"/>
      <c r="G1" s="2"/>
      <c r="H1" s="2"/>
      <c r="I1" s="2"/>
      <c r="J1" s="2"/>
      <c r="K1" s="2"/>
      <c r="L1" s="2"/>
      <c r="M1" s="2"/>
    </row>
    <row r="2" spans="1:13" ht="19.5" customHeight="1" thickBot="1" x14ac:dyDescent="0.45">
      <c r="A2" s="2"/>
      <c r="B2" s="116" t="s">
        <v>65</v>
      </c>
      <c r="C2" s="117"/>
      <c r="D2" s="118"/>
      <c r="E2" s="2"/>
      <c r="F2" s="2"/>
      <c r="G2" s="2"/>
      <c r="H2" s="2"/>
    </row>
    <row r="3" spans="1:13" ht="16.5" customHeight="1" x14ac:dyDescent="0.4">
      <c r="A3" s="2"/>
      <c r="B3" s="119" t="s">
        <v>0</v>
      </c>
      <c r="C3" s="119"/>
      <c r="D3" s="119"/>
      <c r="E3" s="2"/>
      <c r="F3" s="2"/>
      <c r="G3" s="2"/>
      <c r="H3" s="2"/>
    </row>
    <row r="4" spans="1:13" ht="16.8" x14ac:dyDescent="0.4">
      <c r="A4" s="2"/>
      <c r="B4" s="120"/>
      <c r="C4" s="120"/>
      <c r="D4" s="120"/>
      <c r="E4" s="2"/>
      <c r="F4" s="2"/>
      <c r="G4" s="2"/>
      <c r="H4" s="2"/>
    </row>
    <row r="5" spans="1:13" ht="16.8" x14ac:dyDescent="0.4">
      <c r="A5" s="2"/>
      <c r="B5" s="15" t="s">
        <v>95</v>
      </c>
      <c r="C5" s="7"/>
      <c r="D5" s="2"/>
      <c r="E5" s="2"/>
      <c r="F5" s="2"/>
      <c r="G5" s="2"/>
      <c r="H5" s="2"/>
    </row>
    <row r="6" spans="1:13" ht="16.5" customHeight="1" x14ac:dyDescent="0.4">
      <c r="A6" s="2"/>
      <c r="B6" s="125"/>
      <c r="C6" s="125"/>
      <c r="E6" s="2"/>
      <c r="F6" s="2"/>
      <c r="G6" s="2"/>
      <c r="H6" s="2"/>
    </row>
    <row r="7" spans="1:13" s="104" customFormat="1" ht="16.5" customHeight="1" x14ac:dyDescent="0.4">
      <c r="A7" s="103"/>
      <c r="B7" s="102" t="s">
        <v>93</v>
      </c>
      <c r="C7" s="105" t="s">
        <v>96</v>
      </c>
      <c r="D7" s="103"/>
      <c r="E7" s="103"/>
      <c r="F7" s="103"/>
      <c r="G7" s="103"/>
      <c r="H7" s="103"/>
    </row>
    <row r="8" spans="1:13" s="104" customFormat="1" ht="8.1" customHeight="1" x14ac:dyDescent="0.4">
      <c r="A8" s="103"/>
      <c r="B8" s="102"/>
      <c r="C8" s="101"/>
      <c r="D8" s="103"/>
      <c r="E8" s="103"/>
      <c r="F8" s="103"/>
      <c r="G8" s="103"/>
      <c r="H8" s="103"/>
    </row>
    <row r="9" spans="1:13" s="104" customFormat="1" ht="16.5" customHeight="1" x14ac:dyDescent="0.4">
      <c r="A9" s="103"/>
      <c r="B9" s="102" t="s">
        <v>94</v>
      </c>
      <c r="C9" s="105" t="s">
        <v>97</v>
      </c>
      <c r="D9" s="103"/>
      <c r="E9" s="103"/>
      <c r="F9" s="103"/>
      <c r="G9" s="103"/>
      <c r="H9" s="103"/>
    </row>
    <row r="10" spans="1:13" ht="16.5" customHeight="1" x14ac:dyDescent="0.4">
      <c r="A10" s="2"/>
      <c r="B10" s="5"/>
      <c r="C10"/>
      <c r="D10" s="4"/>
      <c r="E10" s="2"/>
      <c r="F10" s="2"/>
      <c r="G10" s="2"/>
      <c r="H10" s="2"/>
    </row>
    <row r="11" spans="1:13" ht="48.6" customHeight="1" x14ac:dyDescent="0.4">
      <c r="A11" s="2"/>
      <c r="B11" s="121" t="s">
        <v>47</v>
      </c>
      <c r="C11" s="121"/>
      <c r="D11" s="121"/>
      <c r="E11" s="2"/>
      <c r="F11" s="2"/>
      <c r="G11" s="2"/>
      <c r="H11" s="2"/>
    </row>
    <row r="12" spans="1:13" ht="51.75" customHeight="1" x14ac:dyDescent="0.4">
      <c r="A12" s="2"/>
      <c r="B12" s="121" t="s">
        <v>67</v>
      </c>
      <c r="C12" s="121"/>
      <c r="D12" s="121"/>
      <c r="F12" s="2"/>
      <c r="G12" s="2"/>
      <c r="H12" s="2"/>
    </row>
    <row r="13" spans="1:13" ht="16.5" customHeight="1" x14ac:dyDescent="0.4">
      <c r="A13" s="2"/>
      <c r="B13" s="6"/>
      <c r="C13" s="6"/>
      <c r="D13" s="6"/>
      <c r="E13" s="2"/>
      <c r="F13" s="2"/>
      <c r="G13" s="2"/>
      <c r="H13" s="2"/>
    </row>
    <row r="14" spans="1:13" ht="16.5" customHeight="1" x14ac:dyDescent="0.4">
      <c r="A14" s="2"/>
      <c r="B14" s="122" t="s">
        <v>1</v>
      </c>
      <c r="C14" s="123"/>
      <c r="D14" s="124"/>
      <c r="E14" s="2"/>
      <c r="F14" s="2"/>
      <c r="G14" s="2"/>
      <c r="H14" s="2"/>
    </row>
    <row r="15" spans="1:13" ht="17.399999999999999" thickBot="1" x14ac:dyDescent="0.45">
      <c r="A15" s="2"/>
      <c r="B15" s="4"/>
      <c r="C15" s="4"/>
      <c r="D15" s="4"/>
      <c r="E15" s="2"/>
      <c r="F15" s="2"/>
      <c r="G15" s="2"/>
      <c r="H15" s="2"/>
    </row>
    <row r="16" spans="1:13" ht="19.2" thickBot="1" x14ac:dyDescent="0.45">
      <c r="A16" s="2"/>
      <c r="B16" s="114"/>
      <c r="C16" s="115"/>
      <c r="D16" s="115"/>
      <c r="E16" s="2"/>
      <c r="F16" s="2"/>
      <c r="G16" s="2"/>
      <c r="H16" s="2"/>
    </row>
    <row r="17" spans="1:8" ht="16.8" x14ac:dyDescent="0.4">
      <c r="A17" s="2"/>
      <c r="B17" s="2"/>
      <c r="C17" s="2"/>
      <c r="D17" s="2"/>
      <c r="E17" s="2"/>
      <c r="F17" s="2"/>
      <c r="G17" s="2"/>
      <c r="H17" s="2"/>
    </row>
    <row r="18" spans="1:8" ht="16.8" hidden="1" x14ac:dyDescent="0.4">
      <c r="A18" s="2"/>
      <c r="B18" s="2"/>
      <c r="C18" s="2"/>
      <c r="D18" s="2"/>
      <c r="E18" s="2"/>
      <c r="F18" s="2"/>
      <c r="G18" s="2"/>
      <c r="H18" s="2"/>
    </row>
    <row r="19" spans="1:8" ht="16.8" hidden="1" x14ac:dyDescent="0.4">
      <c r="A19" s="2"/>
      <c r="B19" s="2"/>
      <c r="C19" s="2"/>
      <c r="D19" s="2"/>
      <c r="E19" s="2"/>
      <c r="F19" s="2"/>
      <c r="G19" s="2"/>
      <c r="H19" s="2"/>
    </row>
    <row r="20" spans="1:8" ht="16.8" hidden="1" x14ac:dyDescent="0.4">
      <c r="A20" s="2"/>
      <c r="B20" s="2"/>
      <c r="C20" s="2"/>
      <c r="D20" s="2"/>
      <c r="E20" s="2"/>
      <c r="F20" s="2"/>
      <c r="G20" s="2"/>
      <c r="H20" s="2"/>
    </row>
    <row r="21" spans="1:8" ht="16.8" hidden="1" x14ac:dyDescent="0.4">
      <c r="A21" s="2"/>
      <c r="B21" s="2"/>
      <c r="C21" s="2"/>
      <c r="D21" s="2"/>
      <c r="E21" s="2"/>
      <c r="F21" s="2"/>
      <c r="G21" s="2"/>
      <c r="H21" s="2"/>
    </row>
    <row r="22" spans="1:8" ht="16.8" hidden="1" x14ac:dyDescent="0.4">
      <c r="A22" s="2"/>
      <c r="B22" s="2"/>
      <c r="C22" s="2"/>
      <c r="D22" s="2"/>
      <c r="E22" s="2"/>
      <c r="F22" s="2"/>
      <c r="G22" s="2"/>
      <c r="H22" s="2"/>
    </row>
    <row r="23" spans="1:8" ht="16.8" hidden="1" x14ac:dyDescent="0.4">
      <c r="A23" s="2"/>
      <c r="B23" s="2"/>
      <c r="C23" s="2"/>
      <c r="D23" s="2"/>
      <c r="E23" s="2"/>
      <c r="F23" s="2"/>
      <c r="G23" s="2"/>
      <c r="H23" s="2"/>
    </row>
    <row r="24" spans="1:8" ht="16.8" hidden="1" x14ac:dyDescent="0.4">
      <c r="A24" s="2"/>
      <c r="B24" s="2"/>
      <c r="C24" s="2"/>
      <c r="D24" s="2"/>
      <c r="E24" s="2"/>
      <c r="F24" s="2"/>
      <c r="G24" s="2"/>
      <c r="H24" s="2"/>
    </row>
    <row r="25" spans="1:8" ht="16.8" hidden="1" x14ac:dyDescent="0.4">
      <c r="A25" s="2"/>
      <c r="B25" s="2"/>
      <c r="C25" s="2"/>
      <c r="D25" s="2"/>
      <c r="E25" s="2"/>
      <c r="F25" s="2"/>
      <c r="G25" s="2"/>
      <c r="H25" s="2"/>
    </row>
    <row r="26" spans="1:8" ht="16.8" hidden="1" x14ac:dyDescent="0.4">
      <c r="A26" s="2"/>
    </row>
    <row r="27" spans="1:8" ht="16.8" hidden="1" x14ac:dyDescent="0.4">
      <c r="A27" s="2"/>
    </row>
    <row r="28" spans="1:8" ht="16.8" hidden="1" x14ac:dyDescent="0.4">
      <c r="A28" s="2"/>
    </row>
    <row r="33" s="3" customFormat="1" ht="16.5" hidden="1" customHeight="1" x14ac:dyDescent="0.4"/>
    <row r="34" s="3" customFormat="1" ht="16.5" hidden="1" customHeight="1" x14ac:dyDescent="0.4"/>
    <row r="35" s="3" customFormat="1" ht="16.5" hidden="1" customHeight="1" x14ac:dyDescent="0.4"/>
    <row r="36" s="3" customFormat="1" ht="16.5" hidden="1" customHeight="1" x14ac:dyDescent="0.4"/>
    <row r="37" s="3" customFormat="1" ht="16.5" hidden="1" customHeight="1" x14ac:dyDescent="0.4"/>
    <row r="38" s="3" customFormat="1" ht="16.5" hidden="1" customHeight="1" x14ac:dyDescent="0.4"/>
    <row r="39" s="3" customFormat="1" ht="16.5" hidden="1" customHeight="1" x14ac:dyDescent="0.4"/>
    <row r="40" s="3" customFormat="1" ht="16.5" hidden="1" customHeight="1" x14ac:dyDescent="0.4"/>
  </sheetData>
  <sheetProtection sheet="1" objects="1" scenarios="1"/>
  <mergeCells count="8">
    <mergeCell ref="B16:D16"/>
    <mergeCell ref="B2:D2"/>
    <mergeCell ref="B3:D3"/>
    <mergeCell ref="B4:D4"/>
    <mergeCell ref="B12:D12"/>
    <mergeCell ref="B14:D14"/>
    <mergeCell ref="B11:D11"/>
    <mergeCell ref="B6:C6"/>
  </mergeCells>
  <hyperlinks>
    <hyperlink ref="C9" r:id="rId1" xr:uid="{3A76C849-7A74-4559-867F-B387AEC8D02D}"/>
    <hyperlink ref="C7" r:id="rId2" xr:uid="{1FAFF029-6404-4F7D-9EFB-60DBFFD79B6C}"/>
  </hyperlinks>
  <pageMargins left="0.7" right="0.7" top="0.75" bottom="0.75" header="0.3" footer="0.3"/>
  <pageSetup scale="91"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pageSetUpPr fitToPage="1"/>
  </sheetPr>
  <dimension ref="A1:W56"/>
  <sheetViews>
    <sheetView showGridLines="0" zoomScaleNormal="100" workbookViewId="0"/>
  </sheetViews>
  <sheetFormatPr defaultColWidth="0" defaultRowHeight="15.6" zeroHeight="1" x14ac:dyDescent="0.35"/>
  <cols>
    <col min="1" max="1" width="3.09765625" style="1" customWidth="1"/>
    <col min="2" max="2" width="29.59765625" style="1" customWidth="1"/>
    <col min="3" max="3" width="8.09765625" style="1" customWidth="1"/>
    <col min="4" max="4" width="8.5" style="1" customWidth="1"/>
    <col min="5" max="5" width="1" style="1" customWidth="1"/>
    <col min="6" max="6" width="8.796875" style="1" customWidth="1"/>
    <col min="7" max="7" width="10.59765625" style="1" customWidth="1"/>
    <col min="8" max="8" width="1.59765625" style="1" customWidth="1"/>
    <col min="9" max="9" width="8.796875" style="1" customWidth="1"/>
    <col min="10" max="10" width="10.59765625" style="1" customWidth="1"/>
    <col min="11" max="11" width="1.59765625" style="1" customWidth="1"/>
    <col min="12" max="12" width="8.796875" style="1" customWidth="1"/>
    <col min="13" max="13" width="10.59765625" style="1" customWidth="1"/>
    <col min="14" max="14" width="1.59765625" style="1" customWidth="1"/>
    <col min="15" max="15" width="8.796875" style="1" customWidth="1"/>
    <col min="16" max="16" width="11.09765625" style="1" customWidth="1"/>
    <col min="17" max="17" width="1.59765625" style="1" customWidth="1"/>
    <col min="18" max="18" width="8.796875" style="1" customWidth="1"/>
    <col min="19" max="19" width="11.09765625" style="1" customWidth="1"/>
    <col min="20" max="20" width="1.59765625" style="1" customWidth="1"/>
    <col min="21" max="21" width="8.796875" style="1" customWidth="1"/>
    <col min="22" max="22" width="11.09765625" style="1" customWidth="1"/>
    <col min="23" max="23" width="3.09765625" style="1" customWidth="1"/>
    <col min="24" max="16384" width="9" style="1" hidden="1"/>
  </cols>
  <sheetData>
    <row r="1" spans="1:22" ht="16.5" customHeight="1" x14ac:dyDescent="0.35">
      <c r="B1" s="73"/>
      <c r="C1"/>
      <c r="D1"/>
      <c r="E1"/>
      <c r="F1"/>
      <c r="G1"/>
      <c r="H1"/>
      <c r="I1"/>
      <c r="J1"/>
      <c r="K1"/>
      <c r="L1"/>
      <c r="M1"/>
      <c r="N1"/>
      <c r="O1"/>
      <c r="P1"/>
    </row>
    <row r="2" spans="1:22" ht="18.75" customHeight="1" x14ac:dyDescent="0.4">
      <c r="B2" s="129" t="s">
        <v>66</v>
      </c>
      <c r="C2" s="130"/>
      <c r="D2" s="130"/>
      <c r="E2" s="130"/>
      <c r="F2" s="130"/>
      <c r="G2" s="130"/>
      <c r="H2" s="130"/>
      <c r="I2" s="130"/>
      <c r="J2" s="130"/>
      <c r="K2" s="130"/>
      <c r="L2" s="130"/>
      <c r="M2" s="130"/>
      <c r="N2" s="130"/>
      <c r="O2" s="130"/>
      <c r="P2" s="130"/>
      <c r="Q2" s="130"/>
      <c r="R2" s="130"/>
      <c r="S2" s="130"/>
      <c r="T2" s="130"/>
      <c r="U2" s="130"/>
      <c r="V2" s="131"/>
    </row>
    <row r="3" spans="1:22" ht="32.549999999999997" customHeight="1" x14ac:dyDescent="0.35">
      <c r="B3" s="74"/>
      <c r="C3" s="74"/>
      <c r="D3" s="74"/>
      <c r="E3" s="74"/>
      <c r="F3" s="126" t="s">
        <v>87</v>
      </c>
      <c r="G3" s="126"/>
      <c r="H3" s="75"/>
      <c r="I3" s="126" t="s">
        <v>88</v>
      </c>
      <c r="J3" s="126"/>
      <c r="K3" s="75"/>
      <c r="L3" s="126" t="s">
        <v>89</v>
      </c>
      <c r="M3" s="126"/>
      <c r="N3" s="75"/>
      <c r="O3" s="126" t="s">
        <v>90</v>
      </c>
      <c r="P3" s="126"/>
      <c r="R3" s="126" t="s">
        <v>91</v>
      </c>
      <c r="S3" s="126"/>
      <c r="T3" s="76"/>
      <c r="U3" s="126" t="s">
        <v>92</v>
      </c>
      <c r="V3" s="126"/>
    </row>
    <row r="4" spans="1:22" ht="35.1" customHeight="1" x14ac:dyDescent="0.4">
      <c r="A4" s="77"/>
      <c r="B4" s="78" t="s">
        <v>24</v>
      </c>
      <c r="C4" s="79" t="s">
        <v>3</v>
      </c>
      <c r="D4" s="80" t="s">
        <v>4</v>
      </c>
      <c r="E4" s="81"/>
      <c r="F4" s="80" t="s">
        <v>5</v>
      </c>
      <c r="G4" s="80" t="s">
        <v>6</v>
      </c>
      <c r="H4" s="82"/>
      <c r="I4" s="80" t="s">
        <v>5</v>
      </c>
      <c r="J4" s="80" t="s">
        <v>7</v>
      </c>
      <c r="K4" s="82"/>
      <c r="L4" s="80" t="s">
        <v>5</v>
      </c>
      <c r="M4" s="80" t="s">
        <v>6</v>
      </c>
      <c r="N4" s="83"/>
      <c r="O4" s="80" t="s">
        <v>5</v>
      </c>
      <c r="P4" s="80" t="s">
        <v>6</v>
      </c>
      <c r="R4" s="80" t="s">
        <v>5</v>
      </c>
      <c r="S4" s="80" t="s">
        <v>6</v>
      </c>
      <c r="U4" s="80" t="s">
        <v>5</v>
      </c>
      <c r="V4" s="80" t="s">
        <v>6</v>
      </c>
    </row>
    <row r="5" spans="1:22" ht="16.5" customHeight="1" x14ac:dyDescent="0.4">
      <c r="A5" s="77"/>
      <c r="B5" s="7" t="s">
        <v>68</v>
      </c>
      <c r="C5" s="84" t="s">
        <v>72</v>
      </c>
      <c r="D5" s="16">
        <v>15.09</v>
      </c>
      <c r="E5" s="7"/>
      <c r="F5" s="21">
        <v>0</v>
      </c>
      <c r="G5" s="85">
        <f>F5*D5</f>
        <v>0</v>
      </c>
      <c r="H5" s="7"/>
      <c r="I5" s="21">
        <v>0</v>
      </c>
      <c r="J5" s="85">
        <f>I5*D5</f>
        <v>0</v>
      </c>
      <c r="K5" s="7"/>
      <c r="L5" s="21">
        <v>0</v>
      </c>
      <c r="M5" s="85">
        <f>L5*D5</f>
        <v>0</v>
      </c>
      <c r="N5" s="7"/>
      <c r="O5" s="21">
        <v>280</v>
      </c>
      <c r="P5" s="85">
        <f>O5*D5</f>
        <v>4225.2</v>
      </c>
      <c r="R5" s="21">
        <v>500</v>
      </c>
      <c r="S5" s="85">
        <f>R5*D5</f>
        <v>7545</v>
      </c>
      <c r="U5" s="21">
        <v>725</v>
      </c>
      <c r="V5" s="85">
        <f>U5*D5</f>
        <v>10940.25</v>
      </c>
    </row>
    <row r="6" spans="1:22" ht="16.5" customHeight="1" x14ac:dyDescent="0.4">
      <c r="A6" s="77"/>
      <c r="B6" s="86" t="s">
        <v>25</v>
      </c>
      <c r="C6"/>
      <c r="D6" s="7"/>
      <c r="E6" s="7"/>
      <c r="F6" s="7"/>
      <c r="G6" s="87">
        <f>G5</f>
        <v>0</v>
      </c>
      <c r="H6" s="7"/>
      <c r="I6" s="7"/>
      <c r="J6" s="87">
        <f>J5</f>
        <v>0</v>
      </c>
      <c r="K6" s="7"/>
      <c r="L6" s="7"/>
      <c r="M6" s="87">
        <f>M5</f>
        <v>0</v>
      </c>
      <c r="N6" s="7"/>
      <c r="O6" s="7"/>
      <c r="P6" s="87">
        <f>P5</f>
        <v>4225.2</v>
      </c>
      <c r="R6" s="7"/>
      <c r="S6" s="87">
        <f>S5</f>
        <v>7545</v>
      </c>
      <c r="U6" s="7"/>
      <c r="V6" s="87">
        <f>V5</f>
        <v>10940.25</v>
      </c>
    </row>
    <row r="7" spans="1:22" ht="35.1" customHeight="1" x14ac:dyDescent="0.4">
      <c r="A7" s="77"/>
      <c r="B7" s="78" t="s">
        <v>26</v>
      </c>
      <c r="C7" s="79" t="s">
        <v>3</v>
      </c>
      <c r="D7" s="80" t="s">
        <v>4</v>
      </c>
      <c r="E7" s="81"/>
      <c r="F7" s="80" t="s">
        <v>5</v>
      </c>
      <c r="G7" s="80" t="s">
        <v>6</v>
      </c>
      <c r="H7" s="82"/>
      <c r="I7" s="80" t="s">
        <v>5</v>
      </c>
      <c r="J7" s="80" t="s">
        <v>7</v>
      </c>
      <c r="K7" s="82"/>
      <c r="L7" s="80" t="s">
        <v>5</v>
      </c>
      <c r="M7" s="80" t="s">
        <v>6</v>
      </c>
      <c r="N7" s="83"/>
      <c r="O7" s="80" t="s">
        <v>5</v>
      </c>
      <c r="P7" s="80" t="s">
        <v>6</v>
      </c>
      <c r="R7" s="80" t="s">
        <v>5</v>
      </c>
      <c r="S7" s="80" t="s">
        <v>6</v>
      </c>
      <c r="U7" s="80" t="s">
        <v>5</v>
      </c>
      <c r="V7" s="80" t="s">
        <v>6</v>
      </c>
    </row>
    <row r="8" spans="1:22" ht="16.5" customHeight="1" x14ac:dyDescent="0.4">
      <c r="A8" s="77"/>
      <c r="B8" s="88" t="s">
        <v>61</v>
      </c>
      <c r="C8" s="89"/>
      <c r="D8" s="81"/>
      <c r="E8" s="81"/>
      <c r="F8" s="81"/>
      <c r="G8" s="81"/>
      <c r="H8" s="82"/>
      <c r="I8" s="81"/>
      <c r="J8" s="81"/>
      <c r="K8" s="82"/>
      <c r="L8" s="81"/>
      <c r="M8" s="81"/>
      <c r="N8" s="83"/>
      <c r="O8" s="81"/>
      <c r="P8" s="81"/>
      <c r="R8" s="81"/>
      <c r="S8" s="81"/>
      <c r="U8" s="81"/>
      <c r="V8" s="81"/>
    </row>
    <row r="9" spans="1:22" ht="16.5" customHeight="1" x14ac:dyDescent="0.4">
      <c r="A9" s="77"/>
      <c r="B9" s="7" t="s">
        <v>69</v>
      </c>
      <c r="C9" s="84" t="s">
        <v>8</v>
      </c>
      <c r="D9" s="16">
        <v>6</v>
      </c>
      <c r="E9" s="7"/>
      <c r="F9" s="17">
        <v>0</v>
      </c>
      <c r="G9" s="87">
        <f>F9*$D$9</f>
        <v>0</v>
      </c>
      <c r="H9" s="7"/>
      <c r="I9" s="17">
        <v>300</v>
      </c>
      <c r="J9" s="87">
        <f>I9*D9</f>
        <v>1800</v>
      </c>
      <c r="K9" s="7"/>
      <c r="L9" s="21">
        <v>0</v>
      </c>
      <c r="M9" s="87">
        <f>L9*D9</f>
        <v>0</v>
      </c>
      <c r="N9" s="7"/>
      <c r="O9" s="17">
        <v>0</v>
      </c>
      <c r="P9" s="87">
        <f>O9*D9</f>
        <v>0</v>
      </c>
      <c r="R9" s="17">
        <v>0</v>
      </c>
      <c r="S9" s="87">
        <f>R9*$D$9</f>
        <v>0</v>
      </c>
      <c r="U9" s="17">
        <v>0</v>
      </c>
      <c r="V9" s="87">
        <f>U9*$D$9</f>
        <v>0</v>
      </c>
    </row>
    <row r="10" spans="1:22" ht="16.5" customHeight="1" x14ac:dyDescent="0.4">
      <c r="A10" s="77"/>
      <c r="B10" s="7" t="s">
        <v>53</v>
      </c>
      <c r="C10" s="84" t="s">
        <v>8</v>
      </c>
      <c r="D10" s="16">
        <v>1.46</v>
      </c>
      <c r="E10" s="7"/>
      <c r="F10" s="17">
        <v>0</v>
      </c>
      <c r="G10" s="87">
        <f>F10*$D$9</f>
        <v>0</v>
      </c>
      <c r="H10" s="7"/>
      <c r="I10" s="17">
        <v>0</v>
      </c>
      <c r="J10" s="87">
        <f>I10*D10</f>
        <v>0</v>
      </c>
      <c r="K10" s="7"/>
      <c r="L10" s="21">
        <v>0</v>
      </c>
      <c r="M10" s="87">
        <f>L10*D10</f>
        <v>0</v>
      </c>
      <c r="N10" s="7"/>
      <c r="O10" s="17">
        <v>0</v>
      </c>
      <c r="P10" s="87">
        <f>O10*D10</f>
        <v>0</v>
      </c>
      <c r="R10" s="17">
        <v>0</v>
      </c>
      <c r="S10" s="87">
        <f>R10*$D$9</f>
        <v>0</v>
      </c>
      <c r="U10" s="17">
        <v>0</v>
      </c>
      <c r="V10" s="87">
        <f>U10*$D$9</f>
        <v>0</v>
      </c>
    </row>
    <row r="11" spans="1:22" ht="16.5" customHeight="1" x14ac:dyDescent="0.4">
      <c r="A11" s="77"/>
      <c r="B11" s="7" t="s">
        <v>55</v>
      </c>
      <c r="C11" s="84" t="s">
        <v>9</v>
      </c>
      <c r="D11" s="16">
        <v>15</v>
      </c>
      <c r="E11" s="7"/>
      <c r="F11" s="17">
        <v>0</v>
      </c>
      <c r="G11" s="87">
        <f>F11*$D11</f>
        <v>0</v>
      </c>
      <c r="H11" s="7"/>
      <c r="I11" s="17">
        <v>0</v>
      </c>
      <c r="J11" s="87">
        <f>I11*D11</f>
        <v>0</v>
      </c>
      <c r="K11" s="7"/>
      <c r="L11" s="21">
        <v>0</v>
      </c>
      <c r="M11" s="87">
        <f>L11*D11</f>
        <v>0</v>
      </c>
      <c r="N11" s="7"/>
      <c r="O11" s="17">
        <v>0</v>
      </c>
      <c r="P11" s="87">
        <f>O11*$D$11</f>
        <v>0</v>
      </c>
      <c r="R11" s="17">
        <v>0</v>
      </c>
      <c r="S11" s="87">
        <f>R11*$D$11</f>
        <v>0</v>
      </c>
      <c r="U11" s="17">
        <v>0</v>
      </c>
      <c r="V11" s="87">
        <f>U11*$D$11</f>
        <v>0</v>
      </c>
    </row>
    <row r="12" spans="1:22" ht="16.5" customHeight="1" x14ac:dyDescent="0.4">
      <c r="A12" s="77"/>
      <c r="B12" s="7" t="s">
        <v>70</v>
      </c>
      <c r="C12" s="84" t="s">
        <v>12</v>
      </c>
      <c r="D12" s="16">
        <v>2.56</v>
      </c>
      <c r="E12" s="7"/>
      <c r="F12" s="17">
        <v>12</v>
      </c>
      <c r="G12" s="87">
        <f>F12*$D12</f>
        <v>30.72</v>
      </c>
      <c r="H12" s="7"/>
      <c r="I12" s="17">
        <v>0</v>
      </c>
      <c r="J12" s="87">
        <f>I12*$D12</f>
        <v>0</v>
      </c>
      <c r="K12" s="7"/>
      <c r="L12" s="21">
        <v>0</v>
      </c>
      <c r="M12" s="87">
        <f>L12*$D12</f>
        <v>0</v>
      </c>
      <c r="N12" s="7"/>
      <c r="O12" s="17">
        <v>0</v>
      </c>
      <c r="P12" s="87">
        <f>O12*$D12</f>
        <v>0</v>
      </c>
      <c r="R12" s="17">
        <v>0</v>
      </c>
      <c r="S12" s="87">
        <f>R12*$D12</f>
        <v>0</v>
      </c>
      <c r="U12" s="17">
        <v>0</v>
      </c>
      <c r="V12" s="87">
        <f>U12*$D12</f>
        <v>0</v>
      </c>
    </row>
    <row r="13" spans="1:22" ht="16.5" customHeight="1" x14ac:dyDescent="0.4">
      <c r="A13" s="77"/>
      <c r="B13" s="7" t="s">
        <v>11</v>
      </c>
      <c r="C13" s="84"/>
      <c r="D13" s="51"/>
      <c r="E13" s="7"/>
      <c r="F13" s="90"/>
      <c r="G13" s="87"/>
      <c r="H13" s="7"/>
      <c r="I13" s="90"/>
      <c r="J13" s="87"/>
      <c r="K13" s="7"/>
      <c r="L13" s="91"/>
      <c r="M13" s="87"/>
      <c r="N13" s="7"/>
      <c r="O13" s="90"/>
      <c r="P13" s="87"/>
      <c r="S13" s="87"/>
      <c r="V13" s="87"/>
    </row>
    <row r="14" spans="1:22" ht="16.5" customHeight="1" x14ac:dyDescent="0.4">
      <c r="A14" s="77"/>
      <c r="B14" s="7" t="s">
        <v>74</v>
      </c>
      <c r="C14" s="84" t="s">
        <v>12</v>
      </c>
      <c r="D14" s="16">
        <v>0.45</v>
      </c>
      <c r="E14" s="7"/>
      <c r="F14" s="17">
        <v>20</v>
      </c>
      <c r="G14" s="87">
        <f>$D14*F14</f>
        <v>9</v>
      </c>
      <c r="H14" s="7"/>
      <c r="I14" s="17">
        <v>20</v>
      </c>
      <c r="J14" s="87">
        <f>$D14*I14</f>
        <v>9</v>
      </c>
      <c r="K14" s="7"/>
      <c r="L14" s="17">
        <v>20</v>
      </c>
      <c r="M14" s="87">
        <f>$D14*L14</f>
        <v>9</v>
      </c>
      <c r="N14" s="7"/>
      <c r="O14" s="17">
        <v>20</v>
      </c>
      <c r="P14" s="87">
        <f>$D14*O14</f>
        <v>9</v>
      </c>
      <c r="R14" s="17">
        <v>20</v>
      </c>
      <c r="S14" s="87">
        <f>$D14*R14</f>
        <v>9</v>
      </c>
      <c r="U14" s="17">
        <v>20</v>
      </c>
      <c r="V14" s="87">
        <f>$D14*U14</f>
        <v>9</v>
      </c>
    </row>
    <row r="15" spans="1:22" ht="16.5" customHeight="1" x14ac:dyDescent="0.4">
      <c r="A15" s="77"/>
      <c r="B15" s="7" t="s">
        <v>75</v>
      </c>
      <c r="C15" s="84" t="s">
        <v>12</v>
      </c>
      <c r="D15" s="16">
        <v>0.55000000000000004</v>
      </c>
      <c r="E15" s="7"/>
      <c r="F15" s="17">
        <v>30</v>
      </c>
      <c r="G15" s="87">
        <f t="shared" ref="G15:G18" si="0">$D15*F15</f>
        <v>16.5</v>
      </c>
      <c r="H15" s="7"/>
      <c r="I15" s="17">
        <v>30</v>
      </c>
      <c r="J15" s="87">
        <f t="shared" ref="J15:J18" si="1">$D15*I15</f>
        <v>16.5</v>
      </c>
      <c r="K15" s="7"/>
      <c r="L15" s="17">
        <v>30</v>
      </c>
      <c r="M15" s="87">
        <f t="shared" ref="M15:M18" si="2">$D15*L15</f>
        <v>16.5</v>
      </c>
      <c r="N15" s="7"/>
      <c r="O15" s="17">
        <v>30</v>
      </c>
      <c r="P15" s="87">
        <f t="shared" ref="P15:P18" si="3">$D15*O15</f>
        <v>16.5</v>
      </c>
      <c r="R15" s="17">
        <v>30</v>
      </c>
      <c r="S15" s="87">
        <f t="shared" ref="S15:S18" si="4">$D15*R15</f>
        <v>16.5</v>
      </c>
      <c r="U15" s="17">
        <v>30</v>
      </c>
      <c r="V15" s="87">
        <f t="shared" ref="V15:V18" si="5">$D15*U15</f>
        <v>16.5</v>
      </c>
    </row>
    <row r="16" spans="1:22" ht="16.5" customHeight="1" x14ac:dyDescent="0.4">
      <c r="A16" s="77"/>
      <c r="B16" s="7" t="s">
        <v>76</v>
      </c>
      <c r="C16" s="84" t="s">
        <v>12</v>
      </c>
      <c r="D16" s="16">
        <v>0.38</v>
      </c>
      <c r="E16" s="7"/>
      <c r="F16" s="17">
        <v>30</v>
      </c>
      <c r="G16" s="87">
        <f t="shared" si="0"/>
        <v>11.4</v>
      </c>
      <c r="H16" s="7"/>
      <c r="I16" s="17">
        <v>30</v>
      </c>
      <c r="J16" s="87">
        <f t="shared" si="1"/>
        <v>11.4</v>
      </c>
      <c r="K16" s="7"/>
      <c r="L16" s="17">
        <v>30</v>
      </c>
      <c r="M16" s="87">
        <f t="shared" si="2"/>
        <v>11.4</v>
      </c>
      <c r="N16" s="7"/>
      <c r="O16" s="17">
        <v>30</v>
      </c>
      <c r="P16" s="87">
        <f t="shared" si="3"/>
        <v>11.4</v>
      </c>
      <c r="R16" s="17">
        <v>30</v>
      </c>
      <c r="S16" s="87">
        <f t="shared" si="4"/>
        <v>11.4</v>
      </c>
      <c r="U16" s="17">
        <v>30</v>
      </c>
      <c r="V16" s="87">
        <f t="shared" si="5"/>
        <v>11.4</v>
      </c>
    </row>
    <row r="17" spans="1:22" ht="16.5" customHeight="1" x14ac:dyDescent="0.4">
      <c r="A17" s="77"/>
      <c r="B17" s="7" t="s">
        <v>77</v>
      </c>
      <c r="C17" s="84" t="s">
        <v>79</v>
      </c>
      <c r="D17" s="16">
        <v>30</v>
      </c>
      <c r="E17" s="7"/>
      <c r="F17" s="17">
        <v>0.5</v>
      </c>
      <c r="G17" s="87">
        <f t="shared" si="0"/>
        <v>15</v>
      </c>
      <c r="H17" s="7"/>
      <c r="I17" s="17">
        <v>0</v>
      </c>
      <c r="J17" s="87">
        <f t="shared" si="1"/>
        <v>0</v>
      </c>
      <c r="K17" s="7"/>
      <c r="L17" s="17">
        <v>0</v>
      </c>
      <c r="M17" s="87">
        <f t="shared" si="2"/>
        <v>0</v>
      </c>
      <c r="N17" s="7"/>
      <c r="O17" s="17">
        <v>0</v>
      </c>
      <c r="P17" s="87">
        <f t="shared" si="3"/>
        <v>0</v>
      </c>
      <c r="R17" s="17">
        <v>0</v>
      </c>
      <c r="S17" s="87">
        <f t="shared" si="4"/>
        <v>0</v>
      </c>
      <c r="U17" s="17">
        <v>0</v>
      </c>
      <c r="V17" s="87">
        <f t="shared" si="5"/>
        <v>0</v>
      </c>
    </row>
    <row r="18" spans="1:22" ht="16.5" customHeight="1" x14ac:dyDescent="0.4">
      <c r="A18" s="77"/>
      <c r="B18" s="7" t="s">
        <v>78</v>
      </c>
      <c r="C18" s="84" t="s">
        <v>12</v>
      </c>
      <c r="D18" s="16">
        <v>0.5</v>
      </c>
      <c r="E18" s="7"/>
      <c r="F18" s="17">
        <v>0</v>
      </c>
      <c r="G18" s="87">
        <f t="shared" si="0"/>
        <v>0</v>
      </c>
      <c r="H18" s="7"/>
      <c r="I18" s="17">
        <v>0</v>
      </c>
      <c r="J18" s="87">
        <f t="shared" si="1"/>
        <v>0</v>
      </c>
      <c r="K18" s="7"/>
      <c r="L18" s="17">
        <v>0</v>
      </c>
      <c r="M18" s="87">
        <f t="shared" si="2"/>
        <v>0</v>
      </c>
      <c r="N18" s="7"/>
      <c r="O18" s="17">
        <v>30</v>
      </c>
      <c r="P18" s="87">
        <f t="shared" si="3"/>
        <v>15</v>
      </c>
      <c r="R18" s="17">
        <v>30</v>
      </c>
      <c r="S18" s="87">
        <f t="shared" si="4"/>
        <v>15</v>
      </c>
      <c r="U18" s="17">
        <v>30</v>
      </c>
      <c r="V18" s="87">
        <f t="shared" si="5"/>
        <v>15</v>
      </c>
    </row>
    <row r="19" spans="1:22" ht="16.5" customHeight="1" x14ac:dyDescent="0.4">
      <c r="A19" s="77"/>
      <c r="B19" s="7" t="s">
        <v>13</v>
      </c>
      <c r="C19" s="84" t="s">
        <v>10</v>
      </c>
      <c r="D19" s="51"/>
      <c r="E19" s="7"/>
      <c r="F19" s="90"/>
      <c r="G19" s="20">
        <v>0</v>
      </c>
      <c r="H19" s="7"/>
      <c r="I19" s="90"/>
      <c r="J19" s="20">
        <v>0</v>
      </c>
      <c r="K19" s="7"/>
      <c r="L19" s="91"/>
      <c r="M19" s="20">
        <v>51.68</v>
      </c>
      <c r="N19" s="7"/>
      <c r="O19" s="90"/>
      <c r="P19" s="20">
        <v>236.88</v>
      </c>
      <c r="S19" s="20">
        <v>236.88</v>
      </c>
      <c r="V19" s="20">
        <v>236.88</v>
      </c>
    </row>
    <row r="20" spans="1:22" ht="16.5" customHeight="1" x14ac:dyDescent="0.4">
      <c r="A20" s="77"/>
      <c r="B20" s="7" t="s">
        <v>14</v>
      </c>
      <c r="C20" s="84" t="s">
        <v>10</v>
      </c>
      <c r="D20" s="51"/>
      <c r="E20" s="7"/>
      <c r="F20" s="90"/>
      <c r="G20" s="20">
        <v>0</v>
      </c>
      <c r="H20" s="7"/>
      <c r="I20" s="90"/>
      <c r="J20" s="20">
        <v>0</v>
      </c>
      <c r="K20" s="7"/>
      <c r="L20" s="91"/>
      <c r="M20" s="20">
        <v>43.41</v>
      </c>
      <c r="N20" s="7"/>
      <c r="O20" s="90"/>
      <c r="P20" s="20">
        <v>119.37</v>
      </c>
      <c r="S20" s="20">
        <v>119.37</v>
      </c>
      <c r="V20" s="20">
        <v>119.37</v>
      </c>
    </row>
    <row r="21" spans="1:22" ht="16.5" customHeight="1" x14ac:dyDescent="0.4">
      <c r="A21" s="77"/>
      <c r="B21" s="7" t="s">
        <v>15</v>
      </c>
      <c r="C21" s="84" t="s">
        <v>10</v>
      </c>
      <c r="D21" s="51"/>
      <c r="E21" s="7"/>
      <c r="F21" s="90"/>
      <c r="G21" s="20">
        <v>16.579999999999998</v>
      </c>
      <c r="H21" s="7"/>
      <c r="I21" s="90"/>
      <c r="J21" s="20">
        <v>66.319999999999993</v>
      </c>
      <c r="K21" s="7"/>
      <c r="L21" s="91"/>
      <c r="M21" s="20">
        <v>99.48</v>
      </c>
      <c r="N21" s="7"/>
      <c r="O21" s="90"/>
      <c r="P21" s="20">
        <v>16.579999999999998</v>
      </c>
      <c r="S21" s="20">
        <v>16.579999999999998</v>
      </c>
      <c r="V21" s="20">
        <v>16.579999999999998</v>
      </c>
    </row>
    <row r="22" spans="1:22" ht="16.5" customHeight="1" x14ac:dyDescent="0.4">
      <c r="A22" s="77"/>
      <c r="B22" s="7" t="s">
        <v>16</v>
      </c>
      <c r="C22" s="84" t="s">
        <v>17</v>
      </c>
      <c r="D22" s="16">
        <v>3.9E-2</v>
      </c>
      <c r="E22" s="7"/>
      <c r="F22" s="17">
        <v>0</v>
      </c>
      <c r="G22" s="87">
        <f>F22*D22</f>
        <v>0</v>
      </c>
      <c r="H22" s="7"/>
      <c r="I22" s="17">
        <v>0</v>
      </c>
      <c r="J22" s="87">
        <f>I22*D22</f>
        <v>0</v>
      </c>
      <c r="K22" s="7"/>
      <c r="L22" s="21">
        <v>0</v>
      </c>
      <c r="M22" s="87">
        <f>L22*D22</f>
        <v>0</v>
      </c>
      <c r="N22" s="7"/>
      <c r="O22" s="17">
        <v>0</v>
      </c>
      <c r="P22" s="87">
        <f>O22*D22</f>
        <v>0</v>
      </c>
      <c r="R22" s="17">
        <v>0</v>
      </c>
      <c r="S22" s="87">
        <f>R22*$D$22</f>
        <v>0</v>
      </c>
      <c r="U22" s="17">
        <v>0</v>
      </c>
      <c r="V22" s="87">
        <f>U22*$D$22</f>
        <v>0</v>
      </c>
    </row>
    <row r="23" spans="1:22" ht="16.5" customHeight="1" x14ac:dyDescent="0.4">
      <c r="A23" s="77"/>
      <c r="B23" s="7" t="s">
        <v>51</v>
      </c>
      <c r="C23" s="84" t="s">
        <v>54</v>
      </c>
      <c r="D23" s="16">
        <v>50.49</v>
      </c>
      <c r="E23" s="7"/>
      <c r="F23" s="17">
        <v>0</v>
      </c>
      <c r="G23" s="87">
        <f>F23*$D23</f>
        <v>0</v>
      </c>
      <c r="H23" s="7"/>
      <c r="I23" s="17">
        <v>0</v>
      </c>
      <c r="J23" s="87">
        <f>I23*$D$23</f>
        <v>0</v>
      </c>
      <c r="K23" s="7"/>
      <c r="L23" s="21">
        <v>0</v>
      </c>
      <c r="M23" s="87">
        <f>L23*$D$23</f>
        <v>0</v>
      </c>
      <c r="N23" s="7"/>
      <c r="O23" s="17">
        <v>5</v>
      </c>
      <c r="P23" s="87">
        <f>O23*$D$23</f>
        <v>252.45000000000002</v>
      </c>
      <c r="R23" s="17">
        <v>5</v>
      </c>
      <c r="S23" s="87">
        <f>R23*$D$23</f>
        <v>252.45000000000002</v>
      </c>
      <c r="U23" s="17">
        <v>5</v>
      </c>
      <c r="V23" s="87">
        <f>U23*$D$23</f>
        <v>252.45000000000002</v>
      </c>
    </row>
    <row r="24" spans="1:22" ht="16.5" customHeight="1" x14ac:dyDescent="0.4">
      <c r="A24" s="77"/>
      <c r="B24" s="7" t="s">
        <v>56</v>
      </c>
      <c r="C24" s="84" t="s">
        <v>54</v>
      </c>
      <c r="D24" s="16">
        <v>100</v>
      </c>
      <c r="E24" s="7"/>
      <c r="F24" s="17">
        <v>0</v>
      </c>
      <c r="G24" s="87">
        <f>F24*$D24</f>
        <v>0</v>
      </c>
      <c r="H24" s="7"/>
      <c r="I24" s="17">
        <v>0</v>
      </c>
      <c r="J24" s="87">
        <f>I24*$D24</f>
        <v>0</v>
      </c>
      <c r="K24" s="7"/>
      <c r="L24" s="21">
        <v>0</v>
      </c>
      <c r="M24" s="87">
        <f>L24*$D24</f>
        <v>0</v>
      </c>
      <c r="N24" s="7"/>
      <c r="O24" s="17">
        <v>1</v>
      </c>
      <c r="P24" s="87">
        <f>O24*$D24</f>
        <v>100</v>
      </c>
      <c r="R24" s="17">
        <v>1</v>
      </c>
      <c r="S24" s="87">
        <f>R24*$D24</f>
        <v>100</v>
      </c>
      <c r="U24" s="17">
        <v>1</v>
      </c>
      <c r="V24" s="87">
        <f>U24*$D24</f>
        <v>100</v>
      </c>
    </row>
    <row r="25" spans="1:22" ht="16.5" customHeight="1" x14ac:dyDescent="0.4">
      <c r="A25" s="77"/>
      <c r="B25" s="7" t="s">
        <v>58</v>
      </c>
      <c r="C25" s="84" t="s">
        <v>80</v>
      </c>
      <c r="D25" s="16">
        <v>15.71</v>
      </c>
      <c r="E25" s="7"/>
      <c r="F25" s="17">
        <v>30</v>
      </c>
      <c r="G25" s="87">
        <f>F25*D25</f>
        <v>471.3</v>
      </c>
      <c r="H25" s="7"/>
      <c r="I25" s="17">
        <v>30</v>
      </c>
      <c r="J25" s="87">
        <f>I25*D25</f>
        <v>471.3</v>
      </c>
      <c r="K25" s="7"/>
      <c r="L25" s="21">
        <v>50</v>
      </c>
      <c r="M25" s="87">
        <f>L25*D25</f>
        <v>785.5</v>
      </c>
      <c r="N25" s="7"/>
      <c r="O25" s="17">
        <v>50</v>
      </c>
      <c r="P25" s="87">
        <f>O25*D25</f>
        <v>785.5</v>
      </c>
      <c r="R25" s="17">
        <v>10</v>
      </c>
      <c r="S25" s="87">
        <f>R25*$D25</f>
        <v>157.10000000000002</v>
      </c>
      <c r="U25" s="17">
        <v>10</v>
      </c>
      <c r="V25" s="87">
        <f>U25*$D25</f>
        <v>157.10000000000002</v>
      </c>
    </row>
    <row r="26" spans="1:22" ht="16.5" customHeight="1" x14ac:dyDescent="0.4">
      <c r="A26" s="77"/>
      <c r="B26" s="7" t="s">
        <v>82</v>
      </c>
      <c r="C26" s="84" t="s">
        <v>10</v>
      </c>
      <c r="D26" s="7"/>
      <c r="E26" s="7"/>
      <c r="F26" s="90"/>
      <c r="G26" s="20">
        <v>21.99</v>
      </c>
      <c r="H26" s="7"/>
      <c r="I26" s="90"/>
      <c r="J26" s="20">
        <v>21.99</v>
      </c>
      <c r="K26" s="7"/>
      <c r="L26" s="91"/>
      <c r="M26" s="20">
        <v>6.11</v>
      </c>
      <c r="N26" s="7"/>
      <c r="O26" s="90"/>
      <c r="P26" s="20">
        <v>24.43</v>
      </c>
      <c r="S26" s="20">
        <v>24.43</v>
      </c>
      <c r="V26" s="20">
        <v>24.43</v>
      </c>
    </row>
    <row r="27" spans="1:22" ht="16.5" customHeight="1" x14ac:dyDescent="0.4">
      <c r="A27" s="77"/>
      <c r="B27" s="7" t="s">
        <v>81</v>
      </c>
      <c r="C27" s="84" t="s">
        <v>10</v>
      </c>
      <c r="D27" s="7"/>
      <c r="E27" s="7"/>
      <c r="F27" s="90"/>
      <c r="G27" s="20">
        <v>18.899999999999999</v>
      </c>
      <c r="H27" s="7"/>
      <c r="I27" s="90"/>
      <c r="J27" s="20">
        <v>18.899999999999999</v>
      </c>
      <c r="K27" s="7"/>
      <c r="L27" s="91"/>
      <c r="M27" s="20">
        <v>6.3</v>
      </c>
      <c r="N27" s="7"/>
      <c r="O27" s="90"/>
      <c r="P27" s="20">
        <v>18.899999999999999</v>
      </c>
      <c r="S27" s="20">
        <v>18.899999999999999</v>
      </c>
      <c r="V27" s="20">
        <v>18.899999999999999</v>
      </c>
    </row>
    <row r="28" spans="1:22" ht="16.5" customHeight="1" x14ac:dyDescent="0.4">
      <c r="A28" s="77"/>
      <c r="B28" s="7" t="s">
        <v>83</v>
      </c>
      <c r="C28" s="84" t="s">
        <v>10</v>
      </c>
      <c r="D28" s="7"/>
      <c r="E28" s="7"/>
      <c r="F28" s="90"/>
      <c r="G28" s="20">
        <v>14.61</v>
      </c>
      <c r="H28" s="7"/>
      <c r="I28" s="90"/>
      <c r="J28" s="20">
        <v>18.27</v>
      </c>
      <c r="K28" s="7"/>
      <c r="L28" s="91"/>
      <c r="M28" s="20">
        <v>14.61</v>
      </c>
      <c r="N28" s="7"/>
      <c r="O28" s="90"/>
      <c r="P28" s="20">
        <v>18.27</v>
      </c>
      <c r="S28" s="20">
        <v>18.27</v>
      </c>
      <c r="V28" s="20">
        <v>18.27</v>
      </c>
    </row>
    <row r="29" spans="1:22" ht="16.5" customHeight="1" x14ac:dyDescent="0.4">
      <c r="A29" s="77"/>
      <c r="B29" s="7" t="s">
        <v>63</v>
      </c>
      <c r="C29" s="84" t="s">
        <v>19</v>
      </c>
      <c r="D29" s="19">
        <v>7.7499999999999999E-2</v>
      </c>
      <c r="E29" s="7"/>
      <c r="F29" s="17">
        <v>6</v>
      </c>
      <c r="G29" s="87">
        <f>SUM(G9:G28)*$D$29*F29/12</f>
        <v>24.257500000000004</v>
      </c>
      <c r="H29" s="7"/>
      <c r="I29" s="17">
        <v>6</v>
      </c>
      <c r="J29" s="87">
        <f>SUM(J9:J28)*$D$29*I29/12</f>
        <v>94.305099999999996</v>
      </c>
      <c r="K29" s="7"/>
      <c r="L29" s="21">
        <v>12</v>
      </c>
      <c r="M29" s="87">
        <f>SUM(M9:M28)*$D$29*L29/12</f>
        <v>80.909225000000006</v>
      </c>
      <c r="N29" s="7"/>
      <c r="O29" s="17">
        <v>12</v>
      </c>
      <c r="P29" s="87">
        <f>SUM(P9:P28)*$D$29*O29/12</f>
        <v>125.88169999999998</v>
      </c>
      <c r="R29" s="17">
        <v>12</v>
      </c>
      <c r="S29" s="87">
        <f>SUM(S9:S28)*$D$29*R29/12</f>
        <v>77.180699999999987</v>
      </c>
      <c r="U29" s="17">
        <v>12</v>
      </c>
      <c r="V29" s="87">
        <f>SUM(V9:V28)*$D$29*U29/12</f>
        <v>77.180699999999987</v>
      </c>
    </row>
    <row r="30" spans="1:22" ht="16.5" customHeight="1" x14ac:dyDescent="0.4">
      <c r="A30" s="77"/>
      <c r="B30" s="88" t="s">
        <v>62</v>
      </c>
      <c r="C30" s="84"/>
      <c r="D30" s="51"/>
      <c r="E30" s="7"/>
      <c r="F30" s="90"/>
      <c r="G30" s="87"/>
      <c r="H30" s="7"/>
      <c r="I30" s="90"/>
      <c r="J30" s="7"/>
      <c r="K30" s="7"/>
      <c r="L30" s="91"/>
      <c r="M30" s="7"/>
      <c r="N30" s="7"/>
      <c r="O30" s="90"/>
      <c r="P30" s="7"/>
    </row>
    <row r="31" spans="1:22" ht="16.5" customHeight="1" x14ac:dyDescent="0.4">
      <c r="A31" s="77"/>
      <c r="B31" s="7" t="s">
        <v>57</v>
      </c>
      <c r="C31" s="84" t="s">
        <v>80</v>
      </c>
      <c r="D31" s="16">
        <v>18.86</v>
      </c>
      <c r="E31" s="7"/>
      <c r="F31" s="17">
        <v>6</v>
      </c>
      <c r="G31" s="87">
        <f>F31*D31</f>
        <v>113.16</v>
      </c>
      <c r="H31" s="7"/>
      <c r="I31" s="17">
        <v>10</v>
      </c>
      <c r="J31" s="87">
        <f>I31*D31</f>
        <v>188.6</v>
      </c>
      <c r="K31" s="7"/>
      <c r="L31" s="21">
        <v>8</v>
      </c>
      <c r="M31" s="87">
        <f>L31*D31</f>
        <v>150.88</v>
      </c>
      <c r="N31" s="7"/>
      <c r="O31" s="17">
        <v>10</v>
      </c>
      <c r="P31" s="87">
        <f>O31*$D$31</f>
        <v>188.6</v>
      </c>
      <c r="R31" s="17">
        <v>10</v>
      </c>
      <c r="S31" s="87">
        <f>R31*$D31</f>
        <v>188.6</v>
      </c>
      <c r="U31" s="17">
        <v>10</v>
      </c>
      <c r="V31" s="87">
        <f>U31*$D31</f>
        <v>188.6</v>
      </c>
    </row>
    <row r="32" spans="1:22" ht="16.5" customHeight="1" x14ac:dyDescent="0.4">
      <c r="A32" s="77"/>
      <c r="B32" s="7" t="s">
        <v>59</v>
      </c>
      <c r="C32" s="84" t="s">
        <v>80</v>
      </c>
      <c r="D32" s="16">
        <v>15.71</v>
      </c>
      <c r="E32" s="7"/>
      <c r="F32" s="17">
        <v>0</v>
      </c>
      <c r="G32" s="87">
        <f>F32*D32</f>
        <v>0</v>
      </c>
      <c r="H32" s="7"/>
      <c r="I32" s="17">
        <v>0</v>
      </c>
      <c r="J32" s="87">
        <f>I32*D32</f>
        <v>0</v>
      </c>
      <c r="K32" s="7"/>
      <c r="L32" s="21">
        <v>0</v>
      </c>
      <c r="M32" s="87">
        <f>L32*D32</f>
        <v>0</v>
      </c>
      <c r="N32" s="7"/>
      <c r="O32" s="17">
        <v>48.533333333333331</v>
      </c>
      <c r="P32" s="87">
        <f>O32*D32</f>
        <v>762.45866666666666</v>
      </c>
      <c r="R32" s="17">
        <v>86.666666666666671</v>
      </c>
      <c r="S32" s="87">
        <f>R32*$D32</f>
        <v>1361.5333333333335</v>
      </c>
      <c r="U32" s="17">
        <v>125.66666666666667</v>
      </c>
      <c r="V32" s="87">
        <f>U32*$D32</f>
        <v>1974.2233333333336</v>
      </c>
    </row>
    <row r="33" spans="1:22" ht="16.5" customHeight="1" x14ac:dyDescent="0.4">
      <c r="A33" s="77"/>
      <c r="B33" s="7" t="s">
        <v>73</v>
      </c>
      <c r="C33" s="84" t="s">
        <v>8</v>
      </c>
      <c r="D33" s="16">
        <v>0.23</v>
      </c>
      <c r="E33" s="7"/>
      <c r="F33" s="17">
        <v>0</v>
      </c>
      <c r="G33" s="87">
        <f>F33*D33</f>
        <v>0</v>
      </c>
      <c r="H33" s="7"/>
      <c r="I33" s="17">
        <v>0</v>
      </c>
      <c r="J33" s="87">
        <f>I33*D33</f>
        <v>0</v>
      </c>
      <c r="K33" s="7"/>
      <c r="L33" s="21">
        <v>0</v>
      </c>
      <c r="M33" s="87">
        <f>L33*D33</f>
        <v>0</v>
      </c>
      <c r="N33" s="7"/>
      <c r="O33" s="17">
        <v>1344</v>
      </c>
      <c r="P33" s="87">
        <f>O33*$D33</f>
        <v>309.12</v>
      </c>
      <c r="R33" s="17">
        <v>2400</v>
      </c>
      <c r="S33" s="87">
        <f>R33*$D33</f>
        <v>552</v>
      </c>
      <c r="U33" s="17">
        <v>3480</v>
      </c>
      <c r="V33" s="87">
        <f>U33*$D33</f>
        <v>800.40000000000009</v>
      </c>
    </row>
    <row r="34" spans="1:22" ht="16.5" customHeight="1" x14ac:dyDescent="0.4">
      <c r="A34" s="77"/>
      <c r="B34" s="7" t="s">
        <v>60</v>
      </c>
      <c r="C34" s="92" t="s">
        <v>72</v>
      </c>
      <c r="D34" s="16">
        <v>0.3</v>
      </c>
      <c r="F34" s="17">
        <v>0</v>
      </c>
      <c r="G34" s="87">
        <f>F34*D34</f>
        <v>0</v>
      </c>
      <c r="I34" s="17">
        <v>0</v>
      </c>
      <c r="J34" s="87">
        <f>I34*D34</f>
        <v>0</v>
      </c>
      <c r="K34" s="7"/>
      <c r="L34" s="21">
        <v>0</v>
      </c>
      <c r="M34" s="87">
        <f>L34*D34</f>
        <v>0</v>
      </c>
      <c r="N34" s="7"/>
      <c r="O34" s="17">
        <v>280</v>
      </c>
      <c r="P34" s="87">
        <f>O34*$D34</f>
        <v>84</v>
      </c>
      <c r="R34" s="17">
        <v>500</v>
      </c>
      <c r="S34" s="87">
        <f>R34*$D34</f>
        <v>150</v>
      </c>
      <c r="U34" s="17">
        <v>725</v>
      </c>
      <c r="V34" s="87">
        <f>U34*$D34</f>
        <v>217.5</v>
      </c>
    </row>
    <row r="35" spans="1:22" ht="16.5" customHeight="1" x14ac:dyDescent="0.4">
      <c r="A35" s="77"/>
      <c r="B35" s="7" t="s">
        <v>18</v>
      </c>
      <c r="C35" s="92" t="s">
        <v>49</v>
      </c>
      <c r="D35" s="18">
        <v>0.1</v>
      </c>
      <c r="E35" s="93"/>
      <c r="F35" s="90">
        <f>G6</f>
        <v>0</v>
      </c>
      <c r="G35" s="85">
        <f>F35*D35</f>
        <v>0</v>
      </c>
      <c r="H35" s="7"/>
      <c r="I35" s="90">
        <f>J6</f>
        <v>0</v>
      </c>
      <c r="J35" s="85">
        <f>I35*D35</f>
        <v>0</v>
      </c>
      <c r="K35" s="7"/>
      <c r="L35" s="91">
        <f>M6</f>
        <v>0</v>
      </c>
      <c r="M35" s="85">
        <f>L35*D35</f>
        <v>0</v>
      </c>
      <c r="N35" s="7"/>
      <c r="O35" s="90">
        <f>P6</f>
        <v>4225.2</v>
      </c>
      <c r="P35" s="85">
        <f>O35*$D$35</f>
        <v>422.52</v>
      </c>
      <c r="R35" s="90">
        <f>S6</f>
        <v>7545</v>
      </c>
      <c r="S35" s="85">
        <f>R35*$D$35</f>
        <v>754.5</v>
      </c>
      <c r="U35" s="90">
        <f>V6</f>
        <v>10940.25</v>
      </c>
      <c r="V35" s="85">
        <f>U35*$D$35</f>
        <v>1094.0250000000001</v>
      </c>
    </row>
    <row r="36" spans="1:22" ht="16.5" customHeight="1" x14ac:dyDescent="0.35">
      <c r="B36" s="86" t="s">
        <v>27</v>
      </c>
      <c r="C36" s="84"/>
      <c r="D36" s="7"/>
      <c r="E36" s="7"/>
      <c r="F36" s="94"/>
      <c r="G36" s="87">
        <f>SUM(G9:G35)</f>
        <v>763.41750000000002</v>
      </c>
      <c r="H36" s="87"/>
      <c r="I36" s="87"/>
      <c r="J36" s="87">
        <f>SUM(J9:J35)</f>
        <v>2716.5850999999998</v>
      </c>
      <c r="K36" s="87"/>
      <c r="L36" s="87"/>
      <c r="M36" s="87">
        <f>SUM(M9:M35)</f>
        <v>1275.7792250000002</v>
      </c>
      <c r="N36" s="87"/>
      <c r="O36" s="90"/>
      <c r="P36" s="87">
        <f>SUM(P9:P35)</f>
        <v>3516.8603666666663</v>
      </c>
      <c r="S36" s="87">
        <f>SUM(S9:S35)</f>
        <v>4079.6940333333332</v>
      </c>
      <c r="V36" s="87">
        <f>SUM(V9:V35)</f>
        <v>5347.809033333333</v>
      </c>
    </row>
    <row r="37" spans="1:22" ht="35.1" customHeight="1" x14ac:dyDescent="0.35">
      <c r="B37" s="78" t="s">
        <v>28</v>
      </c>
      <c r="C37" s="79" t="s">
        <v>3</v>
      </c>
      <c r="D37" s="80" t="s">
        <v>4</v>
      </c>
      <c r="E37" s="81"/>
      <c r="F37" s="80" t="s">
        <v>5</v>
      </c>
      <c r="G37" s="80" t="s">
        <v>6</v>
      </c>
      <c r="H37" s="82"/>
      <c r="I37" s="80" t="s">
        <v>5</v>
      </c>
      <c r="J37" s="80" t="s">
        <v>7</v>
      </c>
      <c r="K37" s="82"/>
      <c r="L37" s="80" t="s">
        <v>5</v>
      </c>
      <c r="M37" s="80" t="s">
        <v>6</v>
      </c>
      <c r="N37" s="83"/>
      <c r="O37" s="80" t="s">
        <v>5</v>
      </c>
      <c r="P37" s="80" t="s">
        <v>6</v>
      </c>
      <c r="R37" s="80" t="s">
        <v>5</v>
      </c>
      <c r="S37" s="80" t="s">
        <v>6</v>
      </c>
      <c r="U37" s="80" t="s">
        <v>5</v>
      </c>
      <c r="V37" s="80" t="s">
        <v>6</v>
      </c>
    </row>
    <row r="38" spans="1:22" ht="16.2" x14ac:dyDescent="0.35">
      <c r="B38" s="7" t="s">
        <v>20</v>
      </c>
      <c r="C38" s="84" t="s">
        <v>10</v>
      </c>
      <c r="D38" s="20">
        <v>185</v>
      </c>
      <c r="E38" s="7"/>
      <c r="F38" s="17">
        <v>1</v>
      </c>
      <c r="G38" s="87">
        <f>$D$38*F38</f>
        <v>185</v>
      </c>
      <c r="H38" s="7"/>
      <c r="I38" s="17">
        <v>1</v>
      </c>
      <c r="J38" s="87">
        <f>$D$38*I38</f>
        <v>185</v>
      </c>
      <c r="K38" s="7"/>
      <c r="L38" s="17">
        <v>1</v>
      </c>
      <c r="M38" s="87">
        <f>$D$38*L38</f>
        <v>185</v>
      </c>
      <c r="N38" s="7"/>
      <c r="O38" s="17">
        <v>1</v>
      </c>
      <c r="P38" s="87">
        <f>$D$38*O38</f>
        <v>185</v>
      </c>
      <c r="R38" s="17">
        <v>1</v>
      </c>
      <c r="S38" s="87">
        <f>$D$38*R38</f>
        <v>185</v>
      </c>
      <c r="U38" s="17">
        <v>1</v>
      </c>
      <c r="V38" s="87">
        <f>$D$38*U38</f>
        <v>185</v>
      </c>
    </row>
    <row r="39" spans="1:22" ht="16.5" customHeight="1" x14ac:dyDescent="0.35">
      <c r="B39" s="7" t="s">
        <v>71</v>
      </c>
      <c r="C39" s="84" t="s">
        <v>10</v>
      </c>
      <c r="D39" s="20">
        <v>277.23</v>
      </c>
      <c r="E39" s="7"/>
      <c r="F39" s="17">
        <v>1</v>
      </c>
      <c r="G39" s="87">
        <f>$D$39*F39</f>
        <v>277.23</v>
      </c>
      <c r="H39" s="7"/>
      <c r="I39" s="21">
        <v>1</v>
      </c>
      <c r="J39" s="87">
        <f>$D$39*I39</f>
        <v>277.23</v>
      </c>
      <c r="K39" s="7"/>
      <c r="L39" s="17">
        <v>1</v>
      </c>
      <c r="M39" s="87">
        <f>$D$39*L39</f>
        <v>277.23</v>
      </c>
      <c r="N39" s="7"/>
      <c r="O39" s="17">
        <v>1</v>
      </c>
      <c r="P39" s="87">
        <f>$D$39*O39</f>
        <v>277.23</v>
      </c>
      <c r="R39" s="17">
        <v>1</v>
      </c>
      <c r="S39" s="87">
        <f>$D$39*R39</f>
        <v>277.23</v>
      </c>
      <c r="U39" s="17">
        <v>1</v>
      </c>
      <c r="V39" s="87">
        <f>$D$39*U39</f>
        <v>277.23</v>
      </c>
    </row>
    <row r="40" spans="1:22" ht="16.2" x14ac:dyDescent="0.35">
      <c r="B40" s="7" t="s">
        <v>52</v>
      </c>
      <c r="C40" s="84" t="s">
        <v>10</v>
      </c>
      <c r="D40" s="7"/>
      <c r="E40" s="7"/>
      <c r="F40" s="7"/>
      <c r="G40" s="22">
        <v>46.82</v>
      </c>
      <c r="H40" s="7"/>
      <c r="I40" s="7"/>
      <c r="J40" s="22">
        <v>46.82</v>
      </c>
      <c r="K40" s="7"/>
      <c r="L40" s="7"/>
      <c r="M40" s="22">
        <v>46.82</v>
      </c>
      <c r="N40" s="7"/>
      <c r="O40" s="7"/>
      <c r="P40" s="22">
        <v>46.82</v>
      </c>
      <c r="R40" s="7"/>
      <c r="S40" s="22">
        <v>46.82</v>
      </c>
      <c r="U40" s="7"/>
      <c r="V40" s="22">
        <v>46.82</v>
      </c>
    </row>
    <row r="41" spans="1:22" ht="16.2" x14ac:dyDescent="0.35">
      <c r="B41" s="86" t="s">
        <v>29</v>
      </c>
      <c r="C41"/>
      <c r="D41" s="7"/>
      <c r="E41" s="7"/>
      <c r="F41" s="7"/>
      <c r="G41" s="87">
        <f>SUM(G38:G40)</f>
        <v>509.05</v>
      </c>
      <c r="H41" s="7"/>
      <c r="I41" s="7"/>
      <c r="J41" s="87">
        <f>SUM(J38:J40)</f>
        <v>509.05</v>
      </c>
      <c r="K41" s="7"/>
      <c r="L41" s="7"/>
      <c r="M41" s="87">
        <f>SUM(M38:M40)</f>
        <v>509.05</v>
      </c>
      <c r="N41" s="7"/>
      <c r="O41" s="7"/>
      <c r="P41" s="87">
        <f>SUM(P38:P40)</f>
        <v>509.05</v>
      </c>
      <c r="R41" s="7"/>
      <c r="S41" s="87">
        <f>SUM(S38:S40)</f>
        <v>509.05</v>
      </c>
      <c r="U41" s="7"/>
      <c r="V41" s="87">
        <f>SUM(V38:V40)</f>
        <v>509.05</v>
      </c>
    </row>
    <row r="42" spans="1:22" ht="16.2" x14ac:dyDescent="0.35">
      <c r="B42" s="95" t="s">
        <v>21</v>
      </c>
      <c r="C42" s="23"/>
      <c r="D42" s="96"/>
      <c r="E42" s="96"/>
      <c r="F42" s="96"/>
      <c r="G42" s="85">
        <f>G36+G41</f>
        <v>1272.4675</v>
      </c>
      <c r="H42" s="85"/>
      <c r="I42" s="85"/>
      <c r="J42" s="85">
        <f>J36+J41</f>
        <v>3225.6351</v>
      </c>
      <c r="K42" s="85"/>
      <c r="L42" s="85"/>
      <c r="M42" s="85">
        <f>M36+M41</f>
        <v>1784.8292250000002</v>
      </c>
      <c r="N42" s="85"/>
      <c r="O42" s="85"/>
      <c r="P42" s="85">
        <f>P36+P41</f>
        <v>4025.9103666666665</v>
      </c>
      <c r="Q42" s="97"/>
      <c r="R42" s="85"/>
      <c r="S42" s="85">
        <f>S36+S41</f>
        <v>4588.7440333333334</v>
      </c>
      <c r="T42" s="97"/>
      <c r="U42" s="85"/>
      <c r="V42" s="85">
        <f>V36+V41</f>
        <v>5856.8590333333332</v>
      </c>
    </row>
    <row r="43" spans="1:22" ht="16.5" customHeight="1" x14ac:dyDescent="0.35">
      <c r="B43" s="127" t="s">
        <v>30</v>
      </c>
      <c r="C43" s="127"/>
      <c r="D43" s="7"/>
      <c r="E43" s="7"/>
      <c r="F43" s="7"/>
      <c r="G43" s="87">
        <f>G6-G36</f>
        <v>-763.41750000000002</v>
      </c>
      <c r="H43" s="87"/>
      <c r="I43" s="87"/>
      <c r="J43" s="87">
        <f>J6-J36</f>
        <v>-2716.5850999999998</v>
      </c>
      <c r="K43" s="87"/>
      <c r="L43" s="87"/>
      <c r="M43" s="87">
        <f>M6-M36</f>
        <v>-1275.7792250000002</v>
      </c>
      <c r="N43" s="87"/>
      <c r="O43" s="87"/>
      <c r="P43" s="87">
        <f>P6-P36</f>
        <v>708.3396333333335</v>
      </c>
      <c r="R43" s="87"/>
      <c r="S43" s="87">
        <f>S6-S36</f>
        <v>3465.3059666666668</v>
      </c>
      <c r="U43" s="87"/>
      <c r="V43" s="87">
        <f>V6-V36</f>
        <v>5592.440966666667</v>
      </c>
    </row>
    <row r="44" spans="1:22" ht="16.5" customHeight="1" thickBot="1" x14ac:dyDescent="0.4">
      <c r="B44" s="128" t="s">
        <v>22</v>
      </c>
      <c r="C44" s="128"/>
      <c r="D44" s="98"/>
      <c r="E44" s="98"/>
      <c r="F44" s="98"/>
      <c r="G44" s="99">
        <f>G6-G42</f>
        <v>-1272.4675</v>
      </c>
      <c r="H44" s="99"/>
      <c r="I44" s="99"/>
      <c r="J44" s="99">
        <f>J6-J42</f>
        <v>-3225.6351</v>
      </c>
      <c r="K44" s="99"/>
      <c r="L44" s="99"/>
      <c r="M44" s="99">
        <f>M6-M42</f>
        <v>-1784.8292250000002</v>
      </c>
      <c r="N44" s="99"/>
      <c r="O44" s="99"/>
      <c r="P44" s="99">
        <f>P6-P42</f>
        <v>199.28963333333331</v>
      </c>
      <c r="Q44" s="100"/>
      <c r="R44" s="99"/>
      <c r="S44" s="99">
        <f>S6-S42</f>
        <v>2956.2559666666666</v>
      </c>
      <c r="T44" s="100"/>
      <c r="U44" s="99"/>
      <c r="V44" s="99">
        <f>V6-V42</f>
        <v>5083.3909666666668</v>
      </c>
    </row>
    <row r="45" spans="1:22" ht="16.5" customHeight="1" thickTop="1" x14ac:dyDescent="0.35">
      <c r="B45" s="84" t="s">
        <v>50</v>
      </c>
      <c r="C45"/>
      <c r="D45"/>
      <c r="E45"/>
      <c r="F45"/>
      <c r="G45"/>
      <c r="H45"/>
      <c r="I45"/>
      <c r="J45"/>
      <c r="K45"/>
      <c r="L45"/>
      <c r="M45"/>
      <c r="N45"/>
      <c r="O45"/>
      <c r="P45"/>
    </row>
    <row r="46" spans="1:22" ht="15.6" hidden="1" customHeight="1" x14ac:dyDescent="0.35">
      <c r="B46"/>
      <c r="C46"/>
      <c r="D46"/>
      <c r="E46"/>
      <c r="F46"/>
      <c r="G46"/>
      <c r="H46"/>
      <c r="I46"/>
      <c r="J46"/>
      <c r="K46"/>
      <c r="L46"/>
      <c r="M46"/>
      <c r="N46"/>
      <c r="O46"/>
      <c r="P46"/>
    </row>
    <row r="47" spans="1:22" ht="16.5" hidden="1" customHeight="1" x14ac:dyDescent="0.35">
      <c r="B47" s="12"/>
      <c r="C47"/>
      <c r="D47"/>
      <c r="E47"/>
      <c r="F47"/>
      <c r="G47"/>
      <c r="H47"/>
      <c r="I47"/>
      <c r="J47"/>
      <c r="K47"/>
      <c r="L47"/>
      <c r="M47"/>
      <c r="N47"/>
      <c r="O47"/>
      <c r="P47"/>
    </row>
    <row r="48" spans="1:22" ht="16.5" hidden="1" customHeight="1" x14ac:dyDescent="0.35">
      <c r="B48"/>
      <c r="C48"/>
      <c r="D48"/>
      <c r="E48" s="133"/>
      <c r="F48" s="133"/>
      <c r="G48"/>
      <c r="H48"/>
      <c r="I48"/>
      <c r="J48"/>
      <c r="K48"/>
      <c r="L48"/>
      <c r="M48"/>
      <c r="N48"/>
      <c r="O48"/>
      <c r="P48"/>
      <c r="Q48"/>
    </row>
    <row r="49" spans="2:16" ht="16.5" hidden="1" customHeight="1" x14ac:dyDescent="0.35">
      <c r="B49"/>
      <c r="C49"/>
      <c r="D49"/>
      <c r="E49" s="133"/>
      <c r="F49" s="133"/>
      <c r="G49"/>
      <c r="H49"/>
      <c r="I49" s="10"/>
      <c r="J49" s="9"/>
      <c r="K49" s="9"/>
      <c r="L49" s="9"/>
      <c r="M49" s="9"/>
      <c r="N49" s="9"/>
      <c r="O49"/>
      <c r="P49"/>
    </row>
    <row r="50" spans="2:16" ht="16.5" hidden="1" customHeight="1" x14ac:dyDescent="0.35">
      <c r="B50"/>
      <c r="C50"/>
      <c r="D50" s="133"/>
      <c r="E50" s="133"/>
      <c r="F50" s="133"/>
      <c r="G50"/>
      <c r="H50"/>
      <c r="I50" s="10"/>
      <c r="J50" s="9"/>
      <c r="K50" s="9"/>
      <c r="L50" s="9"/>
      <c r="M50" s="9"/>
      <c r="N50" s="9"/>
      <c r="O50"/>
      <c r="P50"/>
    </row>
    <row r="51" spans="2:16" ht="16.5" hidden="1" customHeight="1" x14ac:dyDescent="0.35">
      <c r="B51"/>
      <c r="D51" s="11"/>
      <c r="E51" s="11"/>
      <c r="F51" s="11"/>
      <c r="G51"/>
      <c r="H51"/>
      <c r="I51" s="10"/>
      <c r="J51" s="9"/>
      <c r="K51" s="9"/>
      <c r="L51" s="9"/>
      <c r="M51" s="9"/>
      <c r="N51" s="9"/>
      <c r="O51"/>
      <c r="P51"/>
    </row>
    <row r="52" spans="2:16" ht="16.5" hidden="1" customHeight="1" x14ac:dyDescent="0.35">
      <c r="B52"/>
      <c r="C52" s="11"/>
      <c r="D52" s="11"/>
      <c r="E52" s="11"/>
      <c r="F52"/>
      <c r="G52"/>
      <c r="H52"/>
      <c r="I52" s="132"/>
      <c r="J52" s="132"/>
      <c r="K52" s="132"/>
      <c r="L52" s="132"/>
      <c r="M52" s="132"/>
      <c r="N52" s="132"/>
      <c r="O52"/>
      <c r="P52"/>
    </row>
    <row r="53" spans="2:16" ht="16.5" hidden="1" customHeight="1" x14ac:dyDescent="0.35">
      <c r="B53" s="12"/>
      <c r="C53" s="11"/>
      <c r="D53" s="11"/>
      <c r="E53" s="11"/>
      <c r="F53" s="13"/>
      <c r="G53"/>
      <c r="H53"/>
      <c r="I53" s="132"/>
      <c r="J53" s="132"/>
      <c r="K53" s="132"/>
      <c r="L53" s="132"/>
      <c r="M53" s="132"/>
      <c r="N53" s="132"/>
      <c r="O53"/>
      <c r="P53"/>
    </row>
    <row r="54" spans="2:16" ht="16.5" hidden="1" customHeight="1" x14ac:dyDescent="0.35">
      <c r="B54"/>
      <c r="C54" s="11"/>
      <c r="D54" s="11"/>
      <c r="E54" s="11"/>
      <c r="F54" s="14"/>
      <c r="G54"/>
      <c r="H54"/>
      <c r="J54"/>
      <c r="K54"/>
      <c r="L54"/>
      <c r="M54"/>
      <c r="N54"/>
      <c r="O54"/>
      <c r="P54"/>
    </row>
    <row r="55" spans="2:16" ht="16.5" hidden="1" customHeight="1" x14ac:dyDescent="0.35">
      <c r="B55"/>
      <c r="C55"/>
      <c r="D55"/>
      <c r="E55"/>
      <c r="F55" s="14"/>
      <c r="G55"/>
      <c r="H55"/>
      <c r="I55"/>
      <c r="J55"/>
      <c r="K55"/>
      <c r="L55"/>
      <c r="M55"/>
      <c r="N55"/>
      <c r="O55"/>
      <c r="P55"/>
    </row>
    <row r="56" spans="2:16" ht="16.5" hidden="1" customHeight="1" x14ac:dyDescent="0.35">
      <c r="B56"/>
      <c r="C56"/>
      <c r="D56"/>
      <c r="E56"/>
      <c r="F56" s="14"/>
      <c r="G56"/>
      <c r="H56"/>
      <c r="I56"/>
      <c r="J56"/>
      <c r="K56"/>
      <c r="L56"/>
      <c r="M56"/>
      <c r="N56"/>
      <c r="O56"/>
      <c r="P56"/>
    </row>
  </sheetData>
  <sheetProtection sheet="1" objects="1" scenarios="1"/>
  <mergeCells count="13">
    <mergeCell ref="I52:N53"/>
    <mergeCell ref="E48:F48"/>
    <mergeCell ref="E49:F49"/>
    <mergeCell ref="D50:F50"/>
    <mergeCell ref="F3:G3"/>
    <mergeCell ref="I3:J3"/>
    <mergeCell ref="L3:M3"/>
    <mergeCell ref="O3:P3"/>
    <mergeCell ref="B43:C43"/>
    <mergeCell ref="B44:C44"/>
    <mergeCell ref="B2:V2"/>
    <mergeCell ref="R3:S3"/>
    <mergeCell ref="U3:V3"/>
  </mergeCells>
  <pageMargins left="0.5" right="0.5" top="0.5" bottom="0.5" header="0.5" footer="0.5"/>
  <pageSetup scale="66" orientation="landscape" r:id="rId1"/>
  <rowBreaks count="1" manualBreakCount="1">
    <brk id="42" max="21" man="1"/>
  </rowBreaks>
  <ignoredErrors>
    <ignoredError sqref="F35 G14 G15:G18 V14:V18 S14:S18 P14:P18 M14:M18 J14:J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9"/>
  <sheetViews>
    <sheetView workbookViewId="0"/>
  </sheetViews>
  <sheetFormatPr defaultColWidth="0" defaultRowHeight="14.4" zeroHeight="1" x14ac:dyDescent="0.3"/>
  <cols>
    <col min="1" max="1" width="3.09765625" customWidth="1"/>
    <col min="2" max="2" width="8.59765625" customWidth="1"/>
    <col min="3" max="3" width="10.09765625" customWidth="1"/>
    <col min="4" max="4" width="9.296875" customWidth="1"/>
    <col min="5" max="5" width="11.796875" customWidth="1"/>
    <col min="6" max="6" width="9.59765625" bestFit="1" customWidth="1"/>
    <col min="7" max="7" width="8.796875" bestFit="1" customWidth="1"/>
    <col min="8" max="8" width="9.796875" customWidth="1"/>
    <col min="9" max="9" width="11" customWidth="1"/>
    <col min="10" max="10" width="9.796875" bestFit="1" customWidth="1"/>
    <col min="11" max="11" width="10.09765625" customWidth="1"/>
    <col min="12" max="12" width="3.09765625" style="4" customWidth="1"/>
    <col min="13" max="16384" width="8.59765625" hidden="1"/>
  </cols>
  <sheetData>
    <row r="1" spans="1:12" ht="15.6" x14ac:dyDescent="0.3">
      <c r="A1" s="4"/>
      <c r="B1" s="134" t="s">
        <v>84</v>
      </c>
      <c r="C1" s="134"/>
      <c r="D1" s="134"/>
      <c r="E1" s="134"/>
      <c r="F1" s="134"/>
      <c r="G1" s="134"/>
      <c r="H1" s="134"/>
      <c r="I1" s="134"/>
      <c r="J1" s="134"/>
      <c r="K1" s="134"/>
    </row>
    <row r="2" spans="1:12" ht="34.049999999999997" customHeight="1" x14ac:dyDescent="0.3">
      <c r="A2" s="4"/>
      <c r="B2" s="136" t="s">
        <v>100</v>
      </c>
      <c r="C2" s="136"/>
      <c r="D2" s="136"/>
      <c r="E2" s="136"/>
      <c r="F2" s="136"/>
      <c r="G2" s="136"/>
      <c r="H2" s="136"/>
      <c r="I2" s="136"/>
      <c r="J2" s="136"/>
      <c r="K2" s="136"/>
    </row>
    <row r="3" spans="1:12" s="24" customFormat="1" ht="16.5" customHeight="1" x14ac:dyDescent="0.3">
      <c r="A3" s="4"/>
      <c r="B3" s="53"/>
      <c r="C3" s="54"/>
      <c r="D3" s="112"/>
      <c r="E3" s="140" t="s">
        <v>85</v>
      </c>
      <c r="F3" s="140"/>
      <c r="G3" s="140"/>
      <c r="H3" s="140"/>
      <c r="I3" s="140"/>
      <c r="J3" s="140"/>
      <c r="K3" s="141"/>
      <c r="L3" s="4"/>
    </row>
    <row r="4" spans="1:12" ht="16.5" customHeight="1" x14ac:dyDescent="0.3">
      <c r="A4" s="4"/>
      <c r="B4" s="55"/>
      <c r="C4" s="106"/>
      <c r="D4" s="113"/>
      <c r="E4" s="107" t="s">
        <v>41</v>
      </c>
      <c r="F4" s="107" t="s">
        <v>40</v>
      </c>
      <c r="G4" s="107" t="s">
        <v>36</v>
      </c>
      <c r="H4" s="107" t="s">
        <v>34</v>
      </c>
      <c r="I4" s="107" t="s">
        <v>32</v>
      </c>
      <c r="J4" s="107" t="s">
        <v>38</v>
      </c>
      <c r="K4" s="108" t="s">
        <v>39</v>
      </c>
    </row>
    <row r="5" spans="1:12" ht="16.5" customHeight="1" x14ac:dyDescent="0.3">
      <c r="A5" s="4"/>
      <c r="B5" s="109"/>
      <c r="C5" s="110"/>
      <c r="D5" s="111"/>
      <c r="E5" s="57">
        <f>H5*70%</f>
        <v>507.49999999999994</v>
      </c>
      <c r="F5" s="57">
        <f>H5*80%</f>
        <v>580</v>
      </c>
      <c r="G5" s="57">
        <f>H5*90%</f>
        <v>652.5</v>
      </c>
      <c r="H5" s="25">
        <f>Budget!U5</f>
        <v>725</v>
      </c>
      <c r="I5" s="57">
        <f>H5*110%</f>
        <v>797.50000000000011</v>
      </c>
      <c r="J5" s="57">
        <f>H5*120%</f>
        <v>870</v>
      </c>
      <c r="K5" s="58">
        <f>H5*130%</f>
        <v>942.5</v>
      </c>
    </row>
    <row r="6" spans="1:12" ht="16.5" customHeight="1" x14ac:dyDescent="0.3">
      <c r="A6" s="4"/>
      <c r="B6" s="137" t="s">
        <v>64</v>
      </c>
      <c r="C6" s="59" t="s">
        <v>37</v>
      </c>
      <c r="D6" s="28">
        <f>D9*85%</f>
        <v>12.826499999999999</v>
      </c>
      <c r="E6" s="29">
        <f>(D6*$E$5)-Budget!$V$42</f>
        <v>652.58971666666548</v>
      </c>
      <c r="F6" s="30">
        <f>(D6*$F$5)-Budget!$V$42</f>
        <v>1582.5109666666667</v>
      </c>
      <c r="G6" s="31">
        <f>(D6*$G$5)-Budget!$V$42</f>
        <v>2512.432216666667</v>
      </c>
      <c r="H6" s="31">
        <f>(D6*$H$5)-Budget!$V$42</f>
        <v>3442.3534666666665</v>
      </c>
      <c r="I6" s="31">
        <f>(D6*$I$5)-Budget!$V$42</f>
        <v>4372.2747166666677</v>
      </c>
      <c r="J6" s="31">
        <f>(D6*$J$5)-Budget!$V$42</f>
        <v>5302.1959666666671</v>
      </c>
      <c r="K6" s="32">
        <f>(D6*$K$5)-Budget!$V$42</f>
        <v>6232.1172166666665</v>
      </c>
    </row>
    <row r="7" spans="1:12" ht="16.5" customHeight="1" x14ac:dyDescent="0.3">
      <c r="A7" s="4"/>
      <c r="B7" s="137"/>
      <c r="C7" s="59" t="s">
        <v>36</v>
      </c>
      <c r="D7" s="28">
        <f>D9*90%</f>
        <v>13.581</v>
      </c>
      <c r="E7" s="29">
        <f>(D7*$E$5)-Budget!$V$42</f>
        <v>1035.498466666666</v>
      </c>
      <c r="F7" s="30">
        <f>(D7*$F$5)-Budget!$V$42</f>
        <v>2020.1209666666664</v>
      </c>
      <c r="G7" s="31">
        <f>(D7*$G$5)-Budget!$V$42</f>
        <v>3004.7434666666659</v>
      </c>
      <c r="H7" s="31">
        <f>(D7*$H$5)-Budget!$V$42</f>
        <v>3989.3659666666672</v>
      </c>
      <c r="I7" s="31">
        <f>(D7*$I$5)-Budget!$V$42</f>
        <v>4973.9884666666685</v>
      </c>
      <c r="J7" s="31">
        <f>(D7*$J$5)-Budget!$V$42</f>
        <v>5958.6109666666662</v>
      </c>
      <c r="K7" s="32">
        <f>(D7*$K$5)-Budget!$V$42</f>
        <v>6943.2334666666657</v>
      </c>
    </row>
    <row r="8" spans="1:12" ht="16.5" customHeight="1" thickBot="1" x14ac:dyDescent="0.35">
      <c r="A8" s="4"/>
      <c r="B8" s="137"/>
      <c r="C8" s="60" t="s">
        <v>35</v>
      </c>
      <c r="D8" s="28">
        <f>D9*0.95</f>
        <v>14.3355</v>
      </c>
      <c r="E8" s="29">
        <f>(D8*$E$5)-Budget!$V$42</f>
        <v>1418.4072166666656</v>
      </c>
      <c r="F8" s="30">
        <f>(D8*$F$5)-Budget!$V$42</f>
        <v>2457.730966666667</v>
      </c>
      <c r="G8" s="31">
        <f>(D8*$G$5)-Budget!$V$42</f>
        <v>3497.0547166666665</v>
      </c>
      <c r="H8" s="31">
        <f>(D8*$H$5)-Budget!$V$42</f>
        <v>4536.3784666666661</v>
      </c>
      <c r="I8" s="31">
        <f>(D8*$I$5)-Budget!$V$42</f>
        <v>5575.7022166666675</v>
      </c>
      <c r="J8" s="31">
        <f>(D8*$J$5)-Budget!$V$42</f>
        <v>6615.025966666667</v>
      </c>
      <c r="K8" s="32">
        <f>(D8*$K$5)-Budget!$V$42</f>
        <v>7654.3497166666666</v>
      </c>
    </row>
    <row r="9" spans="1:12" ht="16.5" customHeight="1" thickBot="1" x14ac:dyDescent="0.35">
      <c r="A9" s="4"/>
      <c r="B9" s="137"/>
      <c r="C9" s="59" t="s">
        <v>34</v>
      </c>
      <c r="D9" s="26">
        <f>Budget!D5</f>
        <v>15.09</v>
      </c>
      <c r="E9" s="29">
        <f>(D9*$E$5)-Budget!$V$42</f>
        <v>1801.3159666666661</v>
      </c>
      <c r="F9" s="30">
        <f>(D9*$F$5)-Budget!$V$42</f>
        <v>2895.3409666666676</v>
      </c>
      <c r="G9" s="31">
        <f>(D9*$G$5)-Budget!$V$42</f>
        <v>3989.3659666666672</v>
      </c>
      <c r="H9" s="33">
        <f>(D9*$H$5)-Budget!$V$42</f>
        <v>5083.3909666666668</v>
      </c>
      <c r="I9" s="31">
        <f>(D9*$I$5)-Budget!$V$42</f>
        <v>6177.4159666666683</v>
      </c>
      <c r="J9" s="31">
        <f>(D9*$J$5)-Budget!$V$42</f>
        <v>7271.4409666666661</v>
      </c>
      <c r="K9" s="32">
        <f>(D9*$K$5)-Budget!$V$42</f>
        <v>8365.4659666666666</v>
      </c>
    </row>
    <row r="10" spans="1:12" ht="16.5" customHeight="1" x14ac:dyDescent="0.3">
      <c r="A10" s="4"/>
      <c r="B10" s="137"/>
      <c r="C10" s="59" t="s">
        <v>33</v>
      </c>
      <c r="D10" s="28">
        <f>D9*105%</f>
        <v>15.8445</v>
      </c>
      <c r="E10" s="29">
        <f>(D10*$E$5)-Budget!$V$42</f>
        <v>2184.2247166666657</v>
      </c>
      <c r="F10" s="30">
        <f>(D10*$F$5)-Budget!$V$42</f>
        <v>3332.9509666666663</v>
      </c>
      <c r="G10" s="31">
        <f>(D10*$G$5)-Budget!$V$42</f>
        <v>4481.677216666666</v>
      </c>
      <c r="H10" s="31">
        <f>(D10*$H$5)-Budget!$V$42</f>
        <v>5630.4034666666676</v>
      </c>
      <c r="I10" s="31">
        <f>(D10*$I$5)-Budget!$V$42</f>
        <v>6779.1297166666691</v>
      </c>
      <c r="J10" s="31">
        <f>(D10*$J$5)-Budget!$V$42</f>
        <v>7927.855966666667</v>
      </c>
      <c r="K10" s="32">
        <f>(D10*$K$5)-Budget!$V$42</f>
        <v>9076.5822166666658</v>
      </c>
    </row>
    <row r="11" spans="1:12" ht="16.5" customHeight="1" x14ac:dyDescent="0.3">
      <c r="A11" s="4"/>
      <c r="B11" s="137"/>
      <c r="C11" s="59" t="s">
        <v>32</v>
      </c>
      <c r="D11" s="28">
        <f>D9*110%</f>
        <v>16.599</v>
      </c>
      <c r="E11" s="29">
        <f>(D11*$E$5)-Budget!$V$42</f>
        <v>2567.1334666666653</v>
      </c>
      <c r="F11" s="30">
        <f>(D11*$F$5)-Budget!$V$42</f>
        <v>3770.5609666666669</v>
      </c>
      <c r="G11" s="31">
        <f>(D11*$G$5)-Budget!$V$42</f>
        <v>4973.9884666666667</v>
      </c>
      <c r="H11" s="31">
        <f>(D11*$H$5)-Budget!$V$42</f>
        <v>6177.4159666666665</v>
      </c>
      <c r="I11" s="31">
        <f>(D11*$I$5)-Budget!$V$42</f>
        <v>7380.8434666666681</v>
      </c>
      <c r="J11" s="31">
        <f>(D11*$J$5)-Budget!$V$42</f>
        <v>8584.2709666666669</v>
      </c>
      <c r="K11" s="32">
        <f>(D11*$K$5)-Budget!$V$42</f>
        <v>9787.6984666666685</v>
      </c>
    </row>
    <row r="12" spans="1:12" s="23" customFormat="1" ht="16.5" customHeight="1" x14ac:dyDescent="0.3">
      <c r="A12" s="4"/>
      <c r="B12" s="138"/>
      <c r="C12" s="61" t="s">
        <v>31</v>
      </c>
      <c r="D12" s="34">
        <f>D9*115%</f>
        <v>17.353499999999997</v>
      </c>
      <c r="E12" s="35">
        <f>(D12*$E$5)-Budget!$V$42</f>
        <v>2950.042216666664</v>
      </c>
      <c r="F12" s="36">
        <f>(D12*$F$5)-Budget!$V$42</f>
        <v>4208.1709666666657</v>
      </c>
      <c r="G12" s="37">
        <f>(D12*$G$5)-Budget!$V$42</f>
        <v>5466.2997166666655</v>
      </c>
      <c r="H12" s="37">
        <f>(D12*$H$5)-Budget!$V$42</f>
        <v>6724.4284666666654</v>
      </c>
      <c r="I12" s="37">
        <f>(D12*$I$5)-Budget!$V$42</f>
        <v>7982.557216666667</v>
      </c>
      <c r="J12" s="37">
        <f>(D12*$J$5)-Budget!$V$42</f>
        <v>9240.6859666666642</v>
      </c>
      <c r="K12" s="38">
        <f>(D12*$K$5)-Budget!$V$42</f>
        <v>10498.814716666664</v>
      </c>
      <c r="L12" s="4"/>
    </row>
    <row r="13" spans="1:12" s="4" customFormat="1" ht="8.1" customHeight="1" x14ac:dyDescent="0.3">
      <c r="B13" s="6"/>
      <c r="C13" s="6"/>
      <c r="D13" s="6"/>
      <c r="E13" s="6"/>
      <c r="F13" s="6"/>
      <c r="G13" s="6"/>
      <c r="H13" s="6"/>
      <c r="I13" s="6"/>
      <c r="J13" s="6"/>
      <c r="K13" s="6"/>
    </row>
    <row r="14" spans="1:12" s="4" customFormat="1" ht="15.6" x14ac:dyDescent="0.3">
      <c r="B14" s="134" t="s">
        <v>102</v>
      </c>
      <c r="C14" s="134"/>
      <c r="D14" s="134"/>
      <c r="E14" s="134"/>
      <c r="F14" s="134"/>
      <c r="G14" s="134"/>
      <c r="H14" s="134"/>
      <c r="I14" s="134"/>
      <c r="J14" s="134"/>
      <c r="K14" s="134"/>
    </row>
    <row r="15" spans="1:12" s="4" customFormat="1" ht="35.1" customHeight="1" x14ac:dyDescent="0.3">
      <c r="B15" s="136" t="s">
        <v>48</v>
      </c>
      <c r="C15" s="136"/>
      <c r="D15" s="136"/>
      <c r="E15" s="136"/>
      <c r="F15" s="136"/>
      <c r="G15" s="136"/>
      <c r="H15" s="136"/>
      <c r="I15" s="136"/>
      <c r="J15" s="136"/>
      <c r="K15" s="136"/>
    </row>
    <row r="16" spans="1:12" ht="16.5" customHeight="1" x14ac:dyDescent="0.3">
      <c r="A16" s="4"/>
      <c r="B16" s="53"/>
      <c r="C16" s="53"/>
      <c r="D16" s="62"/>
      <c r="E16" s="139" t="s">
        <v>2</v>
      </c>
      <c r="F16" s="140"/>
      <c r="G16" s="140"/>
      <c r="H16" s="140"/>
      <c r="I16" s="140"/>
      <c r="J16" s="140"/>
      <c r="K16" s="141"/>
    </row>
    <row r="17" spans="1:11" ht="16.5" customHeight="1" x14ac:dyDescent="0.3">
      <c r="A17" s="4"/>
      <c r="B17" s="56"/>
      <c r="C17" s="56"/>
      <c r="D17" s="63"/>
      <c r="E17" s="64" t="s">
        <v>37</v>
      </c>
      <c r="F17" s="64" t="s">
        <v>36</v>
      </c>
      <c r="G17" s="64" t="s">
        <v>35</v>
      </c>
      <c r="H17" s="64" t="s">
        <v>34</v>
      </c>
      <c r="I17" s="64" t="s">
        <v>33</v>
      </c>
      <c r="J17" s="64" t="s">
        <v>32</v>
      </c>
      <c r="K17" s="65" t="s">
        <v>31</v>
      </c>
    </row>
    <row r="18" spans="1:11" ht="16.5" customHeight="1" x14ac:dyDescent="0.3">
      <c r="A18" s="4"/>
      <c r="B18" s="142" t="s">
        <v>26</v>
      </c>
      <c r="C18" s="66"/>
      <c r="D18" s="67" t="s">
        <v>37</v>
      </c>
      <c r="E18" s="39">
        <f>(Budget!$V$6*0.85)-(Budget!$V$36*0.85)-Budget!$V$41</f>
        <v>4244.5248216666669</v>
      </c>
      <c r="F18" s="27">
        <f>(Budget!$V$6*0.9)-(Budget!$V$36*0.85)-Budget!$V$41</f>
        <v>4791.5373216666676</v>
      </c>
      <c r="G18" s="27">
        <f>(Budget!$V$6*0.95)-(Budget!$V$36*0.85)-Budget!$V$41</f>
        <v>5338.5498216666665</v>
      </c>
      <c r="H18" s="40">
        <f>Budget!$V$6-(Budget!$V$36*0.85)-Budget!$V$41</f>
        <v>5885.5623216666672</v>
      </c>
      <c r="I18" s="40">
        <f>(Budget!$V$6*1.05)-(Budget!$V$36*0.85)-Budget!$V$41</f>
        <v>6432.574821666668</v>
      </c>
      <c r="J18" s="40">
        <f>(Budget!$V$6*1.1)-(Budget!$V$36*0.85)-Budget!$V$41</f>
        <v>6979.5873216666687</v>
      </c>
      <c r="K18" s="41">
        <f>(Budget!$V$6*1.15)-(Budget!$V$36*0.85)-Budget!$V$41</f>
        <v>7526.5998216666658</v>
      </c>
    </row>
    <row r="19" spans="1:11" ht="16.5" customHeight="1" x14ac:dyDescent="0.3">
      <c r="A19" s="4"/>
      <c r="B19" s="142"/>
      <c r="C19" s="66"/>
      <c r="D19" s="67" t="s">
        <v>36</v>
      </c>
      <c r="E19" s="42">
        <f>(Budget!$V$6*0.85)-(Budget!$V$36*0.9)-Budget!$V$41</f>
        <v>3977.1343699999998</v>
      </c>
      <c r="F19" s="31">
        <f>(Budget!$V$6*0.9)-(Budget!$V$36*0.9)-Budget!$V$41</f>
        <v>4524.1468700000005</v>
      </c>
      <c r="G19" s="31">
        <f>(Budget!$V$6*0.95)-(Budget!$V$36*0.9)-Budget!$V$41</f>
        <v>5071.1593699999994</v>
      </c>
      <c r="H19" s="43">
        <f>Budget!$V$6-(Budget!$V$36*0.9)-Budget!$V$41</f>
        <v>5618.1718700000001</v>
      </c>
      <c r="I19" s="43">
        <f>(Budget!$V$6*1.05)-(Budget!$V$36*0.9)-Budget!$V$41</f>
        <v>6165.1843700000009</v>
      </c>
      <c r="J19" s="43">
        <f>(Budget!$V$6*1.1)-(Budget!$V$36*0.9)-Budget!$V$41</f>
        <v>6712.1968700000016</v>
      </c>
      <c r="K19" s="44">
        <f>(Budget!$V$6*1.15)-(Budget!$V$36*0.9)-Budget!$V$41</f>
        <v>7259.2093699999987</v>
      </c>
    </row>
    <row r="20" spans="1:11" ht="16.5" customHeight="1" thickBot="1" x14ac:dyDescent="0.35">
      <c r="A20" s="4"/>
      <c r="B20" s="142"/>
      <c r="C20" s="66"/>
      <c r="D20" s="67" t="s">
        <v>35</v>
      </c>
      <c r="E20" s="42">
        <f>(Budget!$V$6*0.85)-(Budget!$V$36*0.95)-Budget!$V$41</f>
        <v>3709.7439183333336</v>
      </c>
      <c r="F20" s="31">
        <f>(Budget!$V$6*0.9)-(Budget!$V$36*0.95)-Budget!$V$41</f>
        <v>4256.7564183333343</v>
      </c>
      <c r="G20" s="31">
        <f>(Budget!$V$6*0.95)-(Budget!$V$36*0.95)-Budget!$V$41</f>
        <v>4803.7689183333332</v>
      </c>
      <c r="H20" s="43">
        <f>Budget!$V$6-(Budget!$V$36*0.95)-Budget!$V$41</f>
        <v>5350.7814183333339</v>
      </c>
      <c r="I20" s="43">
        <f>(Budget!$V$6*1.05)-(Budget!$V$36*0.95)-Budget!$V$41</f>
        <v>5897.7939183333347</v>
      </c>
      <c r="J20" s="43">
        <f>(Budget!$V$6*1.1)-(Budget!$V$36*0.95)-Budget!$V$41</f>
        <v>6444.8064183333354</v>
      </c>
      <c r="K20" s="44">
        <f>(Budget!$V$6*1.15)-(Budget!$V$36*0.95)-Budget!$V$41</f>
        <v>6991.8189183333325</v>
      </c>
    </row>
    <row r="21" spans="1:11" ht="16.5" customHeight="1" thickBot="1" x14ac:dyDescent="0.35">
      <c r="A21" s="4"/>
      <c r="B21" s="142"/>
      <c r="C21" s="66"/>
      <c r="D21" s="67" t="s">
        <v>34</v>
      </c>
      <c r="E21" s="42">
        <f>(Budget!$V$6*0.85)-Budget!$V$36-Budget!$V$41</f>
        <v>3442.3534666666665</v>
      </c>
      <c r="F21" s="31">
        <f>(Budget!$V$6*0.9)-(Budget!$V$36)-Budget!$V$41</f>
        <v>3989.3659666666672</v>
      </c>
      <c r="G21" s="31">
        <f>(Budget!$V$6*0.95)-(Budget!$V$36)-Budget!$V$41</f>
        <v>4536.3784666666661</v>
      </c>
      <c r="H21" s="45">
        <f>Budget!$V$6-(Budget!$V$36)-Budget!$V$41</f>
        <v>5083.3909666666668</v>
      </c>
      <c r="I21" s="43">
        <f>(Budget!$V$6*1.05)-(Budget!$V$36)-Budget!$V$41</f>
        <v>5630.4034666666676</v>
      </c>
      <c r="J21" s="43">
        <f>(Budget!$V$6*1.1)-(Budget!$V$36)-Budget!$V$41</f>
        <v>6177.4159666666683</v>
      </c>
      <c r="K21" s="44">
        <f>(Budget!$V$6*1.15)-(Budget!$V$36)-Budget!$V$41</f>
        <v>6724.4284666666654</v>
      </c>
    </row>
    <row r="22" spans="1:11" ht="16.5" customHeight="1" x14ac:dyDescent="0.3">
      <c r="A22" s="4"/>
      <c r="B22" s="142"/>
      <c r="C22" s="66"/>
      <c r="D22" s="67" t="s">
        <v>33</v>
      </c>
      <c r="E22" s="42">
        <f>(Budget!$V$6*0.85)-(Budget!$V$36*1.05)-Budget!$V$41</f>
        <v>3174.9630149999994</v>
      </c>
      <c r="F22" s="31">
        <f>(Budget!$V$6*0.9)-(Budget!$V$36*1.05)-Budget!$V$41</f>
        <v>3721.9755150000001</v>
      </c>
      <c r="G22" s="31">
        <f>(Budget!$V$6*0.95)-(Budget!$V$36*1.05)-Budget!$V$41</f>
        <v>4268.988014999999</v>
      </c>
      <c r="H22" s="43">
        <f>Budget!$V$6-(Budget!$V$36*1.05)-Budget!$V$41</f>
        <v>4816.0005149999997</v>
      </c>
      <c r="I22" s="43">
        <f>(Budget!$V$6*1.05)-(Budget!$V$36*1.05)-Budget!$V$41</f>
        <v>5363.0130150000005</v>
      </c>
      <c r="J22" s="43">
        <f>(Budget!$V$6*1.1)-(Budget!$V$36*1.05)-Budget!$V$41</f>
        <v>5910.0255150000012</v>
      </c>
      <c r="K22" s="44">
        <f>(Budget!$V$6*1.15)-(Budget!$V$36*1.05)-Budget!$V$41</f>
        <v>6457.0380149999983</v>
      </c>
    </row>
    <row r="23" spans="1:11" ht="16.5" customHeight="1" x14ac:dyDescent="0.3">
      <c r="A23" s="4"/>
      <c r="B23" s="142"/>
      <c r="C23" s="66"/>
      <c r="D23" s="67" t="s">
        <v>32</v>
      </c>
      <c r="E23" s="42">
        <f>(Budget!$V$6*0.85)-(Budget!$V$36*1.1)-Budget!$V$41</f>
        <v>2907.5725633333323</v>
      </c>
      <c r="F23" s="31">
        <f>(Budget!$V$6*0.9)-(Budget!$V$36*1.1)-Budget!$V$41</f>
        <v>3454.585063333333</v>
      </c>
      <c r="G23" s="31">
        <f>(Budget!$V$6*0.95)-(Budget!$V$36*1.1)-Budget!$V$41</f>
        <v>4001.5975633333319</v>
      </c>
      <c r="H23" s="43">
        <f>Budget!$V$6-(Budget!$V$36*1.1)-Budget!$V$41</f>
        <v>4548.6100633333326</v>
      </c>
      <c r="I23" s="43">
        <f>(Budget!$V$6*1.05)-(Budget!$V$36*1.1)-Budget!$V$41</f>
        <v>5095.6225633333333</v>
      </c>
      <c r="J23" s="43">
        <f>(Budget!$V$6*1.1)-(Budget!$V$36*1.1)-Budget!$V$41</f>
        <v>5642.6350633333341</v>
      </c>
      <c r="K23" s="44">
        <f>(Budget!$V$6*1.15)-(Budget!$V$36*1.1)-Budget!$V$41</f>
        <v>6189.6475633333312</v>
      </c>
    </row>
    <row r="24" spans="1:11" ht="16.5" customHeight="1" x14ac:dyDescent="0.3">
      <c r="A24" s="4"/>
      <c r="B24" s="143"/>
      <c r="C24" s="68"/>
      <c r="D24" s="69" t="s">
        <v>31</v>
      </c>
      <c r="E24" s="46">
        <f>(Budget!$V$6*0.85)-(Budget!$V$36*1.15)-Budget!$V$41</f>
        <v>2640.182111666667</v>
      </c>
      <c r="F24" s="37">
        <f>(Budget!$V$6*0.9)-(Budget!$V$36*1.15)-Budget!$V$41</f>
        <v>3187.1946116666677</v>
      </c>
      <c r="G24" s="37">
        <f>(Budget!$V$6*0.95)-(Budget!$V$36*1.15)-Budget!$V$41</f>
        <v>3734.2071116666666</v>
      </c>
      <c r="H24" s="47">
        <f>Budget!$V$6-(Budget!$V$36*1.15)-Budget!$V$41</f>
        <v>4281.2196116666673</v>
      </c>
      <c r="I24" s="47">
        <f>(Budget!$V$6*1.05)-(Budget!$V$36*1.15)-Budget!$V$41</f>
        <v>4828.2321116666681</v>
      </c>
      <c r="J24" s="47">
        <f>(Budget!$V$6*1.1)-(Budget!$V$36*1.15)-Budget!$V$41</f>
        <v>5375.2446116666688</v>
      </c>
      <c r="K24" s="48">
        <f>(Budget!$V$6*1.15)-(Budget!$V$36*1.15)-Budget!$V$41</f>
        <v>5922.2571116666659</v>
      </c>
    </row>
    <row r="25" spans="1:11" ht="8.1" customHeight="1" x14ac:dyDescent="0.3">
      <c r="A25" s="4"/>
      <c r="B25" s="6"/>
      <c r="C25" s="6"/>
      <c r="D25" s="6"/>
      <c r="E25" s="6"/>
      <c r="F25" s="6"/>
      <c r="G25" s="6"/>
      <c r="H25" s="6"/>
      <c r="I25" s="6"/>
      <c r="J25" s="6"/>
      <c r="K25" s="6"/>
    </row>
    <row r="26" spans="1:11" ht="15.6" x14ac:dyDescent="0.3">
      <c r="A26" s="4"/>
      <c r="B26" s="134" t="s">
        <v>42</v>
      </c>
      <c r="C26" s="134"/>
      <c r="D26" s="134"/>
      <c r="E26" s="134"/>
      <c r="F26" s="134"/>
      <c r="G26" s="134"/>
      <c r="H26" s="134"/>
      <c r="I26" s="134"/>
      <c r="J26" s="134"/>
      <c r="K26" s="134"/>
    </row>
    <row r="27" spans="1:11" ht="15.6" x14ac:dyDescent="0.3">
      <c r="A27" s="4"/>
      <c r="B27" s="136" t="s">
        <v>46</v>
      </c>
      <c r="C27" s="136"/>
      <c r="D27" s="136"/>
      <c r="E27" s="136"/>
      <c r="F27" s="136"/>
      <c r="G27" s="136"/>
      <c r="H27" s="136"/>
      <c r="I27" s="136"/>
      <c r="J27" s="136"/>
      <c r="K27" s="136"/>
    </row>
    <row r="28" spans="1:11" ht="65.55" customHeight="1" x14ac:dyDescent="0.3">
      <c r="A28" s="4"/>
      <c r="B28" s="136" t="s">
        <v>98</v>
      </c>
      <c r="C28" s="136"/>
      <c r="D28" s="136"/>
      <c r="E28" s="136"/>
      <c r="F28" s="136"/>
      <c r="G28" s="136"/>
      <c r="H28" s="136"/>
      <c r="I28" s="136"/>
      <c r="J28" s="136"/>
      <c r="K28" s="136"/>
    </row>
    <row r="29" spans="1:11" ht="33.6" customHeight="1" x14ac:dyDescent="0.3">
      <c r="A29" s="4"/>
      <c r="B29" s="136" t="s">
        <v>101</v>
      </c>
      <c r="C29" s="136"/>
      <c r="D29" s="136"/>
      <c r="E29" s="136"/>
      <c r="F29" s="136"/>
      <c r="G29" s="136"/>
      <c r="H29" s="136"/>
      <c r="I29" s="136"/>
      <c r="J29" s="136"/>
      <c r="K29" s="136"/>
    </row>
    <row r="30" spans="1:11" x14ac:dyDescent="0.3">
      <c r="A30" s="4"/>
      <c r="B30" s="136"/>
      <c r="C30" s="136"/>
      <c r="D30" s="136"/>
      <c r="E30" s="136"/>
      <c r="F30" s="136"/>
      <c r="G30" s="136"/>
      <c r="H30" s="136"/>
      <c r="I30" s="136"/>
      <c r="J30" s="136"/>
      <c r="K30" s="136"/>
    </row>
    <row r="31" spans="1:11" x14ac:dyDescent="0.3">
      <c r="A31" s="4"/>
      <c r="B31" s="136"/>
      <c r="C31" s="136"/>
      <c r="D31" s="136"/>
      <c r="E31" s="136"/>
      <c r="F31" s="136"/>
      <c r="G31" s="136"/>
      <c r="H31" s="136"/>
      <c r="I31" s="136"/>
      <c r="J31" s="136"/>
      <c r="K31" s="136"/>
    </row>
    <row r="32" spans="1:11" ht="32.549999999999997" customHeight="1" x14ac:dyDescent="0.3">
      <c r="A32" s="4"/>
      <c r="B32" s="136" t="s">
        <v>99</v>
      </c>
      <c r="C32" s="136"/>
      <c r="D32" s="136"/>
      <c r="E32" s="136"/>
      <c r="F32" s="136"/>
      <c r="G32" s="136"/>
      <c r="H32" s="136"/>
      <c r="I32" s="136"/>
      <c r="J32" s="136"/>
      <c r="K32" s="136"/>
    </row>
    <row r="33" spans="1:11" ht="10.050000000000001" customHeight="1" x14ac:dyDescent="0.3">
      <c r="A33" s="4"/>
      <c r="B33" s="70"/>
      <c r="C33" s="70"/>
      <c r="D33" s="70"/>
      <c r="E33" s="70"/>
      <c r="F33" s="70"/>
      <c r="G33" s="70"/>
      <c r="H33" s="70"/>
      <c r="I33" s="70"/>
      <c r="J33" s="70"/>
      <c r="K33" s="70"/>
    </row>
    <row r="34" spans="1:11" ht="15.6" x14ac:dyDescent="0.3">
      <c r="A34" s="4"/>
      <c r="B34" s="71" t="s">
        <v>23</v>
      </c>
      <c r="C34" s="6"/>
      <c r="D34" s="6"/>
      <c r="E34" s="6"/>
      <c r="F34" s="4"/>
      <c r="G34" s="4"/>
      <c r="H34" s="4"/>
      <c r="I34" s="4"/>
      <c r="J34" s="4"/>
      <c r="K34" s="4"/>
    </row>
    <row r="35" spans="1:11" ht="15.6" x14ac:dyDescent="0.3">
      <c r="A35" s="4"/>
      <c r="B35" s="6" t="s">
        <v>43</v>
      </c>
      <c r="C35" s="49"/>
      <c r="D35" s="49"/>
      <c r="E35" s="18">
        <v>0.06</v>
      </c>
      <c r="F35" s="6"/>
      <c r="G35" s="71"/>
      <c r="H35" s="50"/>
      <c r="I35" s="50"/>
      <c r="J35" s="50"/>
      <c r="K35" s="52"/>
    </row>
    <row r="36" spans="1:11" ht="15.6" x14ac:dyDescent="0.3">
      <c r="A36" s="4"/>
      <c r="B36" s="6" t="s">
        <v>86</v>
      </c>
      <c r="C36" s="6"/>
      <c r="D36" s="6"/>
      <c r="E36" s="72">
        <f>(Budget!G44+Budget!J44/(1+E35)+Budget!M44/((1+E35)^2)+Budget!M44/((1+E35)^3)+Budget!P44/(1+E35)^4+Budget!S44/(1+E35)^5+Budget!V44/(1+E35)^6+Budget!V44/(1+E35)^7)</f>
        <v>1928.6896830757169</v>
      </c>
      <c r="F36" s="6"/>
      <c r="G36" s="70"/>
      <c r="H36" s="50"/>
      <c r="I36" s="50"/>
      <c r="J36" s="50"/>
      <c r="K36" s="72"/>
    </row>
    <row r="37" spans="1:11" ht="15.6" x14ac:dyDescent="0.3">
      <c r="A37" s="4"/>
      <c r="B37" s="6" t="s">
        <v>44</v>
      </c>
      <c r="C37" s="6"/>
      <c r="D37" s="6"/>
      <c r="E37" s="72">
        <f>(Budget!G44+Budget!J44/(1+E35)+Budget!M44/((1+E35)^2)+Budget!M44/((1+E35)^3)+Budget!P44/(1+E35)^4+Budget!S44/(1+E35)^5+Budget!V44/(1+E35)^6+Budget!V44/(1+E35)^7+Budget!V44/(1+E35)^8+Budget!V44/(1+E35)^9)</f>
        <v>8126.9233666220789</v>
      </c>
      <c r="F37" s="4"/>
      <c r="G37" s="6"/>
      <c r="H37" s="6"/>
      <c r="I37" s="6"/>
      <c r="J37" s="6"/>
      <c r="K37" s="72"/>
    </row>
    <row r="38" spans="1:11" ht="15.6" x14ac:dyDescent="0.3">
      <c r="A38" s="4"/>
      <c r="B38" s="70" t="s">
        <v>45</v>
      </c>
      <c r="C38" s="70"/>
      <c r="D38" s="72"/>
      <c r="E38" s="72">
        <f>(Budget!G44+Budget!J44/(1+E35)+Budget!M44/((1+E35)^2)+Budget!M44/((1+E35)^3)+Budget!P44/(1+E35)^4+Budget!S44/(1+E35)^5+Budget!V44/(1+E35)^6+Budget!V44/(1+E35)^7+Budget!V44/(1+E35)^8+Budget!V44/(1+E35)^9+Budget!V44/(1+E35)^10+Budget!V44/(1+E35)^11+Budget!V44/(1+E35)^12+Budget!V44/(1+E35)^13+Budget!V44/(1+E35)^14)</f>
        <v>20801.299630235801</v>
      </c>
      <c r="F38" s="4"/>
      <c r="G38" s="6"/>
      <c r="H38" s="6"/>
      <c r="I38" s="6"/>
      <c r="J38" s="6"/>
      <c r="K38" s="72"/>
    </row>
    <row r="39" spans="1:11" ht="14.55" hidden="1" customHeight="1" x14ac:dyDescent="0.3">
      <c r="B39" s="4"/>
      <c r="C39" s="4"/>
      <c r="D39" s="4"/>
      <c r="E39" s="4"/>
      <c r="F39" s="4"/>
      <c r="G39" s="4"/>
      <c r="H39" s="4"/>
      <c r="I39" s="4"/>
      <c r="J39" s="4"/>
      <c r="K39" s="4"/>
    </row>
    <row r="41" spans="1:11" ht="32.1" hidden="1" customHeight="1" x14ac:dyDescent="0.3"/>
    <row r="42" spans="1:11" ht="15.6" hidden="1" x14ac:dyDescent="0.3">
      <c r="B42" s="135"/>
      <c r="C42" s="135"/>
      <c r="D42" s="135"/>
      <c r="E42" s="135"/>
      <c r="F42" s="135"/>
      <c r="G42" s="135"/>
      <c r="H42" s="135"/>
      <c r="I42" s="135"/>
      <c r="J42" s="135"/>
      <c r="K42" s="135"/>
    </row>
    <row r="43" spans="1:11" ht="15.6" hidden="1" x14ac:dyDescent="0.3">
      <c r="B43" s="135"/>
      <c r="C43" s="135"/>
      <c r="D43" s="135"/>
      <c r="E43" s="135"/>
      <c r="F43" s="135"/>
      <c r="G43" s="135"/>
      <c r="H43" s="135"/>
      <c r="I43" s="135"/>
      <c r="J43" s="135"/>
      <c r="K43" s="135"/>
    </row>
    <row r="44" spans="1:11" ht="15.6" hidden="1" x14ac:dyDescent="0.3">
      <c r="B44" s="8"/>
      <c r="C44" s="8"/>
      <c r="D44" s="8"/>
      <c r="E44" s="8"/>
      <c r="F44" s="8"/>
      <c r="G44" s="8"/>
      <c r="H44" s="8"/>
      <c r="I44" s="8"/>
      <c r="J44" s="8"/>
      <c r="K44" s="8"/>
    </row>
    <row r="45" spans="1:11" ht="15.6" hidden="1" x14ac:dyDescent="0.3">
      <c r="G45" s="7"/>
      <c r="H45" s="7"/>
      <c r="I45" s="7"/>
      <c r="J45" s="7"/>
      <c r="K45" s="7"/>
    </row>
    <row r="46" spans="1:11" ht="15.6" hidden="1" x14ac:dyDescent="0.3">
      <c r="G46" s="7"/>
      <c r="H46" s="7"/>
      <c r="I46" s="7"/>
      <c r="J46" s="7"/>
      <c r="K46" s="7"/>
    </row>
    <row r="47" spans="1:11" ht="15.6" hidden="1" x14ac:dyDescent="0.3">
      <c r="G47" s="7"/>
      <c r="H47" s="7"/>
      <c r="I47" s="7"/>
      <c r="J47" s="7"/>
      <c r="K47" s="7"/>
    </row>
    <row r="48" spans="1:11" ht="15.6" hidden="1" x14ac:dyDescent="0.3">
      <c r="G48" s="7"/>
      <c r="H48" s="7"/>
      <c r="I48" s="7"/>
      <c r="J48" s="7"/>
      <c r="K48" s="7"/>
    </row>
    <row r="49" spans="7:11" ht="15.6" hidden="1" x14ac:dyDescent="0.3">
      <c r="G49" s="7"/>
      <c r="H49" s="7"/>
      <c r="I49" s="7"/>
      <c r="J49" s="7"/>
      <c r="K49" s="7"/>
    </row>
  </sheetData>
  <sheetProtection sheet="1" objects="1" scenarios="1"/>
  <mergeCells count="15">
    <mergeCell ref="B1:K1"/>
    <mergeCell ref="B14:K14"/>
    <mergeCell ref="B42:K42"/>
    <mergeCell ref="B43:K43"/>
    <mergeCell ref="B29:K31"/>
    <mergeCell ref="B26:K26"/>
    <mergeCell ref="B6:B12"/>
    <mergeCell ref="E16:K16"/>
    <mergeCell ref="B18:B24"/>
    <mergeCell ref="B27:K27"/>
    <mergeCell ref="B2:K2"/>
    <mergeCell ref="B15:K15"/>
    <mergeCell ref="B28:K28"/>
    <mergeCell ref="B32:K32"/>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Jackson, Lauren</cp:lastModifiedBy>
  <cp:revision/>
  <cp:lastPrinted>2025-07-25T16:22:03Z</cp:lastPrinted>
  <dcterms:created xsi:type="dcterms:W3CDTF">2020-07-30T17:48:44Z</dcterms:created>
  <dcterms:modified xsi:type="dcterms:W3CDTF">2025-11-05T17:48:33Z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