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https://mailmissouri-my.sharepoint.com/personal/markd2_umsystem_edu/Documents/Documents/24-12 Other/"/>
    </mc:Choice>
  </mc:AlternateContent>
  <xr:revisionPtr revIDLastSave="0" documentId="8_{66A05E4B-9DB4-4399-9A6C-F3B35AB02428}" xr6:coauthVersionLast="47" xr6:coauthVersionMax="47" xr10:uidLastSave="{00000000-0000-0000-0000-000000000000}"/>
  <workbookProtection workbookAlgorithmName="SHA-512" workbookHashValue="c08fL3iGjEeATVQo5/LKt+H8q/Sq1ShLAjH5/h2UQ7k3Z+URexSY+KzU+i7b9eZKfpDTjTWnHz5YotpPMex2oA==" workbookSaltValue="FV22aThknQcy70U5wXNJKQ==" workbookSpinCount="100000" lockStructure="1"/>
  <bookViews>
    <workbookView xWindow="-108" yWindow="-16308" windowWidth="29016" windowHeight="15696" xr2:uid="{ECD404FC-E283-4CAE-84C8-7C9E86372B57}"/>
  </bookViews>
  <sheets>
    <sheet name="Major Crops" sheetId="1" r:id="rId1"/>
    <sheet name="Other Crops" sheetId="3" r:id="rId2"/>
    <sheet name="Details" sheetId="2" r:id="rId3"/>
  </sheets>
  <definedNames>
    <definedName name="_xlnm.Print_Area" localSheetId="2">Details!$A$1:$L$60</definedName>
    <definedName name="_xlnm.Print_Area" localSheetId="0">'Major Crops'!$A$1:$N$34</definedName>
    <definedName name="_xlnm.Print_Area" localSheetId="1">'Other Crops'!$A$1:$N$35</definedName>
    <definedName name="_xlnm.Print_Titles" localSheetId="2">Details!$1:$4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2" l="1"/>
  <c r="G4" i="3"/>
  <c r="G3" i="3"/>
  <c r="G2" i="3"/>
  <c r="K33" i="2"/>
  <c r="K32" i="2"/>
  <c r="L32" i="2" s="1"/>
  <c r="M22" i="3" s="1"/>
  <c r="K31" i="2"/>
  <c r="K30" i="2"/>
  <c r="K29" i="2"/>
  <c r="L29" i="2" s="1"/>
  <c r="M21" i="3" s="1"/>
  <c r="K28" i="2"/>
  <c r="L28" i="2" s="1"/>
  <c r="M20" i="3" s="1"/>
  <c r="K27" i="2"/>
  <c r="K26" i="2"/>
  <c r="L26" i="2" s="1"/>
  <c r="M19" i="3" s="1"/>
  <c r="K25" i="2"/>
  <c r="K24" i="2"/>
  <c r="K23" i="2"/>
  <c r="L23" i="2" s="1"/>
  <c r="M18" i="3" s="1"/>
  <c r="K22" i="2"/>
  <c r="L22" i="2" s="1"/>
  <c r="M17" i="3" s="1"/>
  <c r="K21" i="2"/>
  <c r="L21" i="2" s="1"/>
  <c r="M16" i="3" s="1"/>
  <c r="K20" i="2"/>
  <c r="L20" i="2" s="1"/>
  <c r="M15" i="3" s="1"/>
  <c r="K19" i="2"/>
  <c r="L19" i="2" s="1"/>
  <c r="M14" i="3" s="1"/>
  <c r="K18" i="2"/>
  <c r="K17" i="2"/>
  <c r="K16" i="2"/>
  <c r="L16" i="2" s="1"/>
  <c r="M13" i="3" s="1"/>
  <c r="K15" i="2"/>
  <c r="L15" i="2" s="1"/>
  <c r="M12" i="3" s="1"/>
  <c r="K14" i="2"/>
  <c r="L14" i="2" s="1"/>
  <c r="M11" i="3" s="1"/>
  <c r="E33" i="2"/>
  <c r="E32" i="2"/>
  <c r="E31" i="2"/>
  <c r="E30" i="2"/>
  <c r="E29" i="2"/>
  <c r="E28" i="2"/>
  <c r="E26" i="2"/>
  <c r="E25" i="2"/>
  <c r="G25" i="2" s="1"/>
  <c r="H25" i="2" s="1"/>
  <c r="E24" i="2"/>
  <c r="E23" i="2"/>
  <c r="E22" i="2"/>
  <c r="E21" i="2"/>
  <c r="E20" i="2"/>
  <c r="E19" i="2"/>
  <c r="E17" i="2"/>
  <c r="E16" i="2"/>
  <c r="E15" i="2"/>
  <c r="E14" i="2"/>
  <c r="L12" i="3"/>
  <c r="L13" i="3"/>
  <c r="L14" i="3"/>
  <c r="L15" i="3"/>
  <c r="L16" i="3"/>
  <c r="L17" i="3"/>
  <c r="L18" i="3"/>
  <c r="L19" i="3"/>
  <c r="L20" i="3"/>
  <c r="L21" i="3"/>
  <c r="L22" i="3"/>
  <c r="N35" i="3"/>
  <c r="K23" i="3"/>
  <c r="J23" i="3"/>
  <c r="I23" i="3"/>
  <c r="H23" i="3"/>
  <c r="G23" i="3"/>
  <c r="F23" i="3"/>
  <c r="E23" i="3"/>
  <c r="D23" i="3"/>
  <c r="C23" i="3"/>
  <c r="B23" i="3"/>
  <c r="L11" i="3"/>
  <c r="L15" i="1"/>
  <c r="L25" i="2" l="1"/>
  <c r="N21" i="3"/>
  <c r="L23" i="3"/>
  <c r="N22" i="3"/>
  <c r="N20" i="3"/>
  <c r="N19" i="3"/>
  <c r="N18" i="3"/>
  <c r="N17" i="3"/>
  <c r="N16" i="3"/>
  <c r="N15" i="3"/>
  <c r="N14" i="3"/>
  <c r="N13" i="3"/>
  <c r="N12" i="3"/>
  <c r="N11" i="3"/>
  <c r="N23" i="3" l="1"/>
  <c r="N21" i="1" l="1"/>
  <c r="K11" i="2"/>
  <c r="K13" i="2"/>
  <c r="M15" i="1" l="1"/>
  <c r="N15" i="1" s="1"/>
  <c r="L60" i="2"/>
  <c r="N34" i="1"/>
  <c r="F3" i="2"/>
  <c r="F4" i="2"/>
  <c r="F2" i="2"/>
  <c r="C20" i="1"/>
  <c r="D20" i="1"/>
  <c r="E20" i="1"/>
  <c r="F20" i="1"/>
  <c r="G20" i="1"/>
  <c r="H20" i="1"/>
  <c r="I20" i="1"/>
  <c r="J20" i="1"/>
  <c r="K20" i="1"/>
  <c r="B20" i="1"/>
  <c r="L12" i="1"/>
  <c r="L13" i="1"/>
  <c r="L14" i="1"/>
  <c r="L16" i="1"/>
  <c r="L17" i="1"/>
  <c r="L18" i="1"/>
  <c r="L19" i="1"/>
  <c r="L11" i="1"/>
  <c r="D27" i="2"/>
  <c r="E27" i="2" s="1"/>
  <c r="G17" i="2"/>
  <c r="H17" i="2" s="1"/>
  <c r="L17" i="2" s="1"/>
  <c r="G18" i="2"/>
  <c r="H18" i="2" s="1"/>
  <c r="L18" i="2" s="1"/>
  <c r="G24" i="2"/>
  <c r="H24" i="2" s="1"/>
  <c r="L24" i="2" s="1"/>
  <c r="G27" i="2"/>
  <c r="H27" i="2" s="1"/>
  <c r="L27" i="2" s="1"/>
  <c r="G30" i="2"/>
  <c r="H30" i="2" s="1"/>
  <c r="L30" i="2" s="1"/>
  <c r="G31" i="2"/>
  <c r="H31" i="2" s="1"/>
  <c r="L31" i="2" s="1"/>
  <c r="G33" i="2"/>
  <c r="H33" i="2" s="1"/>
  <c r="L33" i="2" s="1"/>
  <c r="E13" i="2"/>
  <c r="G13" i="2" s="1"/>
  <c r="H13" i="2" s="1"/>
  <c r="L13" i="2" s="1"/>
  <c r="M11" i="1" s="1"/>
  <c r="H11" i="2"/>
  <c r="L20" i="1" l="1"/>
  <c r="N11" i="1"/>
  <c r="M12" i="1" l="1"/>
  <c r="N12" i="1" s="1"/>
  <c r="M16" i="1"/>
  <c r="N16" i="1" s="1"/>
  <c r="M13" i="1"/>
  <c r="N13" i="1" s="1"/>
  <c r="M14" i="1"/>
  <c r="N14" i="1" s="1"/>
  <c r="M17" i="1"/>
  <c r="N17" i="1" s="1"/>
  <c r="M18" i="1"/>
  <c r="N18" i="1" s="1"/>
  <c r="M19" i="1"/>
  <c r="N19" i="1" s="1"/>
  <c r="N20" i="1" l="1"/>
  <c r="N24" i="3" l="1"/>
  <c r="N25" i="3" s="1"/>
  <c r="N26" i="3" s="1"/>
  <c r="N22" i="1"/>
  <c r="N23" i="1" s="1"/>
</calcChain>
</file>

<file path=xl/sharedStrings.xml><?xml version="1.0" encoding="utf-8"?>
<sst xmlns="http://schemas.openxmlformats.org/spreadsheetml/2006/main" count="221" uniqueCount="97">
  <si>
    <t>CORN</t>
  </si>
  <si>
    <t>Farm 1</t>
  </si>
  <si>
    <t>Planted Acres</t>
  </si>
  <si>
    <t>Prevented Planting Acres</t>
  </si>
  <si>
    <t>Farm 2</t>
  </si>
  <si>
    <t>Farm 3</t>
  </si>
  <si>
    <t>Farm 4</t>
  </si>
  <si>
    <t>Farm 5</t>
  </si>
  <si>
    <t>Total Eligible Acres</t>
  </si>
  <si>
    <t>SOYBEANS</t>
  </si>
  <si>
    <t>WHEAT</t>
  </si>
  <si>
    <t>BARLEY</t>
  </si>
  <si>
    <t>OATS</t>
  </si>
  <si>
    <r>
      <rPr>
        <vertAlign val="superscript"/>
        <sz val="11"/>
        <color theme="1"/>
        <rFont val="Aptos Narrow"/>
        <family val="2"/>
        <scheme val="minor"/>
      </rPr>
      <t xml:space="preserve">1 </t>
    </r>
    <r>
      <rPr>
        <sz val="11"/>
        <color theme="1"/>
        <rFont val="Aptos Narrow"/>
        <family val="2"/>
        <scheme val="minor"/>
      </rPr>
      <t>Cotton: extra long and upland</t>
    </r>
  </si>
  <si>
    <r>
      <t xml:space="preserve">COTTON </t>
    </r>
    <r>
      <rPr>
        <vertAlign val="superscript"/>
        <sz val="11"/>
        <color theme="1"/>
        <rFont val="Aptos Narrow"/>
        <family val="2"/>
        <scheme val="minor"/>
      </rPr>
      <t>1</t>
    </r>
  </si>
  <si>
    <r>
      <t xml:space="preserve">RICE </t>
    </r>
    <r>
      <rPr>
        <vertAlign val="superscript"/>
        <sz val="11"/>
        <color theme="1"/>
        <rFont val="Aptos Narrow"/>
        <family val="2"/>
        <scheme val="minor"/>
      </rPr>
      <t>2</t>
    </r>
  </si>
  <si>
    <t>Eligible Crop</t>
  </si>
  <si>
    <t>Notes:</t>
  </si>
  <si>
    <t>$/acre</t>
  </si>
  <si>
    <t>Economic Assistance Rate:</t>
  </si>
  <si>
    <t>$/Unit</t>
  </si>
  <si>
    <t>Projected Avg. Farm Price MY 2024/25
(a)</t>
  </si>
  <si>
    <r>
      <t xml:space="preserve">Expected Gross Returns
(c) = (a) </t>
    </r>
    <r>
      <rPr>
        <sz val="11"/>
        <color theme="1"/>
        <rFont val="Aptos Narrow"/>
        <family val="2"/>
      </rPr>
      <t>× (b)</t>
    </r>
  </si>
  <si>
    <t>Expected Cost of Production 
(d)</t>
  </si>
  <si>
    <t xml:space="preserve">Expected Economic Loss 
(e) = (d) - (c) </t>
  </si>
  <si>
    <t>Sources:</t>
  </si>
  <si>
    <t>(d) https://www.ers.usda.gov/data-products/commodity-costs-and-returns/commodity-costs-and-returns/#Cost-of-Production%20Forecasts</t>
  </si>
  <si>
    <r>
      <rPr>
        <vertAlign val="superscript"/>
        <sz val="11"/>
        <color theme="1"/>
        <rFont val="Aptos Narrow"/>
        <family val="2"/>
        <scheme val="minor"/>
      </rPr>
      <t>3</t>
    </r>
    <r>
      <rPr>
        <sz val="11"/>
        <color theme="1"/>
        <rFont val="Aptos Narrow"/>
        <family val="2"/>
        <scheme val="minor"/>
      </rPr>
      <t xml:space="preserve"> Sorghum: grain sorghum</t>
    </r>
  </si>
  <si>
    <r>
      <t xml:space="preserve">SORGHUM </t>
    </r>
    <r>
      <rPr>
        <vertAlign val="superscript"/>
        <sz val="11"/>
        <color theme="1"/>
        <rFont val="Aptos Narrow"/>
        <family val="2"/>
        <scheme val="minor"/>
      </rPr>
      <t>3</t>
    </r>
  </si>
  <si>
    <t>bushel</t>
  </si>
  <si>
    <t>lb</t>
  </si>
  <si>
    <t>cwt</t>
  </si>
  <si>
    <t>Unit of Measurement</t>
  </si>
  <si>
    <t>Reference Price 
(g)</t>
  </si>
  <si>
    <t>Reference Price % for Min. Pmt.:</t>
  </si>
  <si>
    <t>(g) https://www.fsa.usda.gov/documents/2024-erp</t>
  </si>
  <si>
    <t>National Avg. Harvested Yield 2015-2024
(b)</t>
  </si>
  <si>
    <t>(b) https://quickstats.nass.usda.gov</t>
  </si>
  <si>
    <t>RaFF Decision Tool 2024-12(1)</t>
  </si>
  <si>
    <t>Version: 12/20/2024</t>
  </si>
  <si>
    <t>Fill out the highlighted cells with your own information.</t>
  </si>
  <si>
    <t>Total Payment by Crop*</t>
  </si>
  <si>
    <t>Payment rate per Acre^</t>
  </si>
  <si>
    <t>^ See Details tab.</t>
  </si>
  <si>
    <t xml:space="preserve">Recommended citation format: </t>
  </si>
  <si>
    <t>High global cap</t>
  </si>
  <si>
    <t>Low global cap</t>
  </si>
  <si>
    <t>If less than 75% of your average gross income for the 2020, 2021, and 2022 tax years is derived from farming, ranching, or silviculture activities, your total economic assistance payments will be capped at $125,000. Otherwise, your total economic assistance payments will be capped at $250,000.</t>
  </si>
  <si>
    <t>These payment limitations are separate from annual payment limitations under any other program.</t>
  </si>
  <si>
    <t>* Global payment limitations may apply:</t>
  </si>
  <si>
    <t>Print date:</t>
  </si>
  <si>
    <t>For Educational Purposes Only; No Guarantee or Warranty Implied or Stated.</t>
  </si>
  <si>
    <t>Calculation Details</t>
  </si>
  <si>
    <t>PEANUTS</t>
  </si>
  <si>
    <t xml:space="preserve">Plastina, A., and M. Rosenbohm.  “Economic Assistance Calculator.” RaFF Decision Tool 2024-12(1), Division of Applied Social Sciences, University of Missouri-Columbia, December 20, 2024. Available at www.RaFF.missouri.edu </t>
  </si>
  <si>
    <t>PLC Yield 
(h)</t>
  </si>
  <si>
    <t>Units/acre</t>
  </si>
  <si>
    <t>(h) https://www.fsa.usda.gov/resources/programs/arc-plc/program-data</t>
  </si>
  <si>
    <t>lbs</t>
  </si>
  <si>
    <t>CANOLA</t>
  </si>
  <si>
    <t>MAJOR CROPS</t>
  </si>
  <si>
    <t>DRY PEAS</t>
  </si>
  <si>
    <t>LENTILS</t>
  </si>
  <si>
    <t>FLAXSEED</t>
  </si>
  <si>
    <t>MUSTARD SEED</t>
  </si>
  <si>
    <t>RAPESEED</t>
  </si>
  <si>
    <t>SAFFLOWER</t>
  </si>
  <si>
    <t>CRAMBE</t>
  </si>
  <si>
    <t>SESAME SEED</t>
  </si>
  <si>
    <t>SUNFLOWERS</t>
  </si>
  <si>
    <t>Subtotal Major Crops</t>
  </si>
  <si>
    <t>Subtotal Other Crops</t>
  </si>
  <si>
    <t>OTHER CROPS</t>
  </si>
  <si>
    <t>Total Payments from All Crops</t>
  </si>
  <si>
    <t>CHICKPEAS-LARGE</t>
  </si>
  <si>
    <t>CHICKPEAS-SMALL</t>
  </si>
  <si>
    <t xml:space="preserve">Assumptions: </t>
  </si>
  <si>
    <t xml:space="preserve">(g), (h) For rice, all acres are assumed to get a payment based on the all-rice price, all-rice yield, and all-rice cost of production. For the minimum payment, an all-rice PLC yield (weighted average of types) and the long grain or medium/short grain statutory reference price is used. It is possible that USDA will interpret these provisions differently during enactment for calculating actual payments. This could mean different payment calculations for long grain, medium/short grain, and temperate japonica. </t>
  </si>
  <si>
    <t>(d) The Economic Research Service does not publish cost of production estimates for the crop shaded in blue or marked "n.a.". It will be up to the Secretary to determine these. When those values are published, they can be typed in here.</t>
  </si>
  <si>
    <t xml:space="preserve">(e), (f) For those crops without cost of production data, it is not yet possible to calculate either the Expected Economic Loss, or the Economic Assistance Rate. </t>
  </si>
  <si>
    <t>??</t>
  </si>
  <si>
    <t>(b) Crambe yields assumed to be a simple average of recent data available from FSA ARC program data; no estimates available from NASS; final value will likely differ from this value.</t>
  </si>
  <si>
    <t xml:space="preserve">(b) Harvested yields are assumed to be the average for 2015/16 through 2024/25 (using the December estimates for 2024/25) for all crops except Sesame, Flaxseed, Mustard, Rapeseed, and Safflower, for which there are no 2024/25 yield estimates currently available from NASS. For these crops, the 2014/15 to 2023/24 average yields are used. </t>
  </si>
  <si>
    <t xml:space="preserve">(b) For cotton, upland cotton yields are used for a consistent comparison to both prices and a minimum payment calculation based on seed cotton parameters. ELS cotton is assumed to get a payment equal to that of upland cotton. </t>
  </si>
  <si>
    <t>Eligible Crops</t>
  </si>
  <si>
    <r>
      <rPr>
        <vertAlign val="superscript"/>
        <sz val="11"/>
        <color theme="1"/>
        <rFont val="Aptos Narrow"/>
        <family val="2"/>
        <scheme val="minor"/>
      </rPr>
      <t>3</t>
    </r>
    <r>
      <rPr>
        <sz val="11"/>
        <color theme="1"/>
        <rFont val="Aptos Narrow"/>
        <family val="2"/>
        <scheme val="minor"/>
      </rPr>
      <t xml:space="preserve"> Sorghum: grain sorghum.</t>
    </r>
  </si>
  <si>
    <t>Final Payment Rate
(i) =higher of (f) and (j)</t>
  </si>
  <si>
    <t>(a) https://www.fsa.usda.gov/resources/programs/arc-plc/program-data#:~:text=Market%20Year%20Average%20Prices</t>
  </si>
  <si>
    <r>
      <rPr>
        <vertAlign val="superscript"/>
        <sz val="11"/>
        <color theme="1"/>
        <rFont val="Aptos Narrow"/>
        <family val="2"/>
        <scheme val="minor"/>
      </rPr>
      <t>2</t>
    </r>
    <r>
      <rPr>
        <sz val="11"/>
        <color theme="1"/>
        <rFont val="Aptos Narrow"/>
        <family val="2"/>
        <scheme val="minor"/>
      </rPr>
      <t xml:space="preserve"> Rice: long- and medium grain (excluding temperate japonica until final rules become available).</t>
    </r>
  </si>
  <si>
    <t>(h) These are the payment yields associated with the Price Loss Coverage (PLC) program and are calculated using the file titled “Program Year 2024 Average PLC Yield by County” also available from USDA’s FSA 2024 Program Data website. The national average is calculated as the average of the PLC yields by county weighted by the total enrolled base acres (across all three programs). It is possible that the Secretary may make a slightly different calculation (for example, using total base acres instead of enrolled base acres) so the final number could be different than that used here.</t>
  </si>
  <si>
    <t>AMERICAN RELEIEF ACT - ECONOMIC ASSISTANCE CALCULATOR</t>
  </si>
  <si>
    <t xml:space="preserve">Plastina, A., and M. Rosenbohm.  “American Relief Act-Economic Assistance Calculator.” RaFF Decision Tool 2024-12(1), Division of Applied Social Sciences, University of Missouri-Columbia, December 20, 2024. Available at www.RaFF.missouri.edu </t>
  </si>
  <si>
    <t>Disclamer:</t>
  </si>
  <si>
    <t xml:space="preserve">Many provisions in the legislative text allow or require the discretion of the Secretary of Agriculture in determining certain of the relevant variables (prices, costs, yields, etc.). </t>
  </si>
  <si>
    <t xml:space="preserve">It is possible that USDA will interpret the provisions of the Act differently that the authors of this report during enactment for calculating actual payments. </t>
  </si>
  <si>
    <t>This decision tool is for Educational Purposes Only; no guarantee or warranty is implied or stated.</t>
  </si>
  <si>
    <r>
      <rPr>
        <vertAlign val="superscript"/>
        <sz val="11"/>
        <color theme="1"/>
        <rFont val="Aptos Narrow"/>
        <family val="2"/>
        <scheme val="minor"/>
      </rPr>
      <t xml:space="preserve">1 </t>
    </r>
    <r>
      <rPr>
        <sz val="11"/>
        <color theme="1"/>
        <rFont val="Aptos Narrow"/>
        <family val="2"/>
        <scheme val="minor"/>
      </rPr>
      <t>Cotton: extra long and upland.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</si>
</sst>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quot;$&quot;#,##0.00"/>
    <numFmt numFmtId="165" formatCode="&quot;$&quot;#,##0.000"/>
    <numFmt numFmtId="166" formatCode="&quot;$&quot;#,##0.0000"/>
    <numFmt numFmtId="167" formatCode="#,##0.0"/>
    <numFmt numFmtId="168" formatCode="_(* #,##0_);_(* \(#,##0\);_(* &quot;-&quot;??_);_(@_)"/>
  </numFmts>
  <fonts count="16" x14ac:knownFonts="1">
    <font>
      <sz val="11"/>
      <color theme="1"/>
      <name val="Aptos Narrow"/>
      <family val="2"/>
      <scheme val="minor"/>
    </font>
    <font>
      <sz val="12"/>
      <color theme="1"/>
      <name val="Aptos"/>
      <family val="2"/>
    </font>
    <font>
      <vertAlign val="superscript"/>
      <sz val="11"/>
      <color theme="1"/>
      <name val="Aptos Narrow"/>
      <family val="2"/>
      <scheme val="minor"/>
    </font>
    <font>
      <sz val="11"/>
      <color theme="1"/>
      <name val="Aptos Narrow"/>
      <family val="2"/>
    </font>
    <font>
      <sz val="11"/>
      <color theme="1"/>
      <name val="Aptos Narrow"/>
      <family val="2"/>
      <scheme val="minor"/>
    </font>
    <font>
      <b/>
      <sz val="11"/>
      <color theme="1"/>
      <name val="Aptos Narrow"/>
      <family val="2"/>
      <scheme val="minor"/>
    </font>
    <font>
      <i/>
      <sz val="11"/>
      <color theme="1"/>
      <name val="Aptos Narrow"/>
      <family val="2"/>
      <scheme val="minor"/>
    </font>
    <font>
      <sz val="11"/>
      <color rgb="FFFF0000"/>
      <name val="Aptos Narrow"/>
      <family val="2"/>
      <scheme val="minor"/>
    </font>
    <font>
      <u/>
      <sz val="11"/>
      <color theme="10"/>
      <name val="Aptos Narrow"/>
      <family val="2"/>
      <scheme val="minor"/>
    </font>
    <font>
      <b/>
      <u/>
      <sz val="11"/>
      <color theme="1"/>
      <name val="Aptos Narrow"/>
      <family val="2"/>
      <scheme val="minor"/>
    </font>
    <font>
      <sz val="11"/>
      <name val="Aptos Narrow"/>
      <family val="2"/>
      <scheme val="minor"/>
    </font>
    <font>
      <sz val="11"/>
      <color theme="1"/>
      <name val="Aptos"/>
      <family val="2"/>
    </font>
    <font>
      <b/>
      <i/>
      <sz val="11"/>
      <color theme="1"/>
      <name val="Aptos Narrow"/>
      <family val="2"/>
      <scheme val="minor"/>
    </font>
    <font>
      <i/>
      <u/>
      <sz val="11"/>
      <color theme="10"/>
      <name val="Aptos Narrow"/>
      <family val="2"/>
      <scheme val="minor"/>
    </font>
    <font>
      <sz val="11"/>
      <color rgb="FF00B0F0"/>
      <name val="Aptos Narrow"/>
      <family val="2"/>
      <scheme val="minor"/>
    </font>
    <font>
      <b/>
      <i/>
      <sz val="11"/>
      <color rgb="FF00B0F0"/>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E6F8FE"/>
        <bgColor indexed="64"/>
      </patternFill>
    </fill>
    <fill>
      <patternFill patternType="solid">
        <fgColor rgb="FFFBFEE6"/>
        <bgColor indexed="64"/>
      </patternFill>
    </fill>
    <fill>
      <patternFill patternType="solid">
        <fgColor theme="7"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s>
  <cellStyleXfs count="4">
    <xf numFmtId="0" fontId="0" fillId="0" borderId="0"/>
    <xf numFmtId="44" fontId="4" fillId="0" borderId="0" applyFont="0" applyFill="0" applyBorder="0" applyAlignment="0" applyProtection="0"/>
    <xf numFmtId="0" fontId="8" fillId="0" borderId="0" applyNumberFormat="0" applyFill="0" applyBorder="0" applyAlignment="0" applyProtection="0"/>
    <xf numFmtId="43" fontId="4" fillId="0" borderId="0" applyFont="0" applyFill="0" applyBorder="0" applyAlignment="0" applyProtection="0"/>
  </cellStyleXfs>
  <cellXfs count="88">
    <xf numFmtId="0" fontId="0" fillId="0" borderId="0" xfId="0"/>
    <xf numFmtId="0" fontId="0" fillId="2" borderId="0" xfId="0" applyFill="1"/>
    <xf numFmtId="9" fontId="0" fillId="2" borderId="0" xfId="0" applyNumberFormat="1" applyFill="1"/>
    <xf numFmtId="0" fontId="0" fillId="2" borderId="0" xfId="0" applyFill="1" applyAlignment="1">
      <alignment horizontal="center" wrapText="1"/>
    </xf>
    <xf numFmtId="0" fontId="0" fillId="2" borderId="0" xfId="0" applyFill="1" applyAlignment="1">
      <alignment wrapText="1"/>
    </xf>
    <xf numFmtId="0" fontId="0" fillId="2" borderId="0" xfId="0" applyFill="1" applyAlignment="1">
      <alignment vertical="center" wrapText="1"/>
    </xf>
    <xf numFmtId="0" fontId="0" fillId="2" borderId="0" xfId="0" applyFill="1" applyAlignment="1">
      <alignment horizontal="center"/>
    </xf>
    <xf numFmtId="164" fontId="0" fillId="2" borderId="0" xfId="1" applyNumberFormat="1" applyFont="1" applyFill="1"/>
    <xf numFmtId="164" fontId="0" fillId="2" borderId="0" xfId="0" applyNumberFormat="1" applyFill="1"/>
    <xf numFmtId="165" fontId="0" fillId="2" borderId="0" xfId="0" applyNumberFormat="1" applyFill="1"/>
    <xf numFmtId="2" fontId="0" fillId="2" borderId="0" xfId="0" applyNumberFormat="1" applyFill="1"/>
    <xf numFmtId="0" fontId="0" fillId="2" borderId="0" xfId="0" applyFill="1" applyAlignment="1">
      <alignment vertical="center"/>
    </xf>
    <xf numFmtId="0" fontId="0" fillId="2" borderId="3" xfId="0" applyFill="1" applyBorder="1" applyAlignment="1">
      <alignment horizontal="right" wrapText="1"/>
    </xf>
    <xf numFmtId="0" fontId="0" fillId="2" borderId="1" xfId="0" applyFill="1" applyBorder="1" applyAlignment="1">
      <alignment horizontal="right" wrapText="1"/>
    </xf>
    <xf numFmtId="0" fontId="0" fillId="2" borderId="2" xfId="0" applyFill="1" applyBorder="1" applyAlignment="1">
      <alignment horizontal="centerContinuous"/>
    </xf>
    <xf numFmtId="0" fontId="0" fillId="2" borderId="5" xfId="0" applyFill="1" applyBorder="1" applyAlignment="1">
      <alignment horizontal="centerContinuous"/>
    </xf>
    <xf numFmtId="0" fontId="0" fillId="2" borderId="6" xfId="0" applyFill="1" applyBorder="1" applyAlignment="1">
      <alignment horizontal="centerContinuous"/>
    </xf>
    <xf numFmtId="0" fontId="0" fillId="2" borderId="6" xfId="0" applyFill="1" applyBorder="1" applyAlignment="1">
      <alignment wrapText="1"/>
    </xf>
    <xf numFmtId="0" fontId="0" fillId="2" borderId="4" xfId="0" applyFill="1" applyBorder="1" applyAlignment="1">
      <alignment wrapText="1"/>
    </xf>
    <xf numFmtId="0" fontId="0" fillId="2" borderId="4" xfId="0" applyFill="1" applyBorder="1" applyAlignment="1">
      <alignment vertical="center" wrapText="1"/>
    </xf>
    <xf numFmtId="0" fontId="0" fillId="2" borderId="13" xfId="0" applyFill="1" applyBorder="1"/>
    <xf numFmtId="0" fontId="0" fillId="2" borderId="15" xfId="0" applyFill="1" applyBorder="1" applyAlignment="1">
      <alignment vertical="center" wrapText="1"/>
    </xf>
    <xf numFmtId="0" fontId="0" fillId="2" borderId="14" xfId="0" applyFill="1" applyBorder="1" applyAlignment="1">
      <alignment vertical="center" wrapText="1"/>
    </xf>
    <xf numFmtId="0" fontId="5" fillId="2" borderId="0" xfId="0" applyFont="1" applyFill="1" applyAlignment="1">
      <alignment horizontal="center"/>
    </xf>
    <xf numFmtId="0" fontId="0" fillId="2" borderId="4" xfId="0" applyFill="1" applyBorder="1"/>
    <xf numFmtId="0" fontId="8" fillId="2" borderId="0" xfId="2" applyFill="1"/>
    <xf numFmtId="0" fontId="0" fillId="2" borderId="1" xfId="0" applyFill="1" applyBorder="1" applyAlignment="1">
      <alignment vertical="center" wrapText="1"/>
    </xf>
    <xf numFmtId="0" fontId="0" fillId="2" borderId="1" xfId="0" applyFill="1" applyBorder="1" applyAlignment="1">
      <alignment horizontal="center"/>
    </xf>
    <xf numFmtId="164" fontId="0" fillId="2" borderId="1" xfId="1" applyNumberFormat="1" applyFont="1" applyFill="1" applyBorder="1"/>
    <xf numFmtId="0" fontId="0" fillId="2" borderId="1" xfId="0" applyFill="1" applyBorder="1"/>
    <xf numFmtId="164" fontId="0" fillId="2" borderId="1" xfId="0" applyNumberFormat="1" applyFill="1" applyBorder="1"/>
    <xf numFmtId="165" fontId="0" fillId="2" borderId="1" xfId="0" applyNumberFormat="1" applyFill="1" applyBorder="1"/>
    <xf numFmtId="0" fontId="0" fillId="2" borderId="0" xfId="0" applyFill="1" applyAlignment="1">
      <alignment horizontal="right"/>
    </xf>
    <xf numFmtId="0" fontId="7" fillId="2" borderId="0" xfId="0" applyFont="1" applyFill="1" applyAlignment="1">
      <alignment horizontal="right"/>
    </xf>
    <xf numFmtId="0" fontId="6" fillId="0" borderId="3" xfId="0" applyFont="1" applyBorder="1"/>
    <xf numFmtId="0" fontId="0" fillId="2" borderId="3" xfId="0" applyFill="1" applyBorder="1"/>
    <xf numFmtId="14" fontId="0" fillId="2" borderId="0" xfId="0" applyNumberFormat="1" applyFill="1"/>
    <xf numFmtId="0" fontId="9" fillId="2" borderId="0" xfId="0" applyFont="1" applyFill="1"/>
    <xf numFmtId="0" fontId="5" fillId="2" borderId="9" xfId="0" applyFont="1" applyFill="1" applyBorder="1"/>
    <xf numFmtId="0" fontId="5" fillId="2" borderId="4" xfId="0" applyFont="1" applyFill="1" applyBorder="1"/>
    <xf numFmtId="164" fontId="5" fillId="2" borderId="10" xfId="0" applyNumberFormat="1" applyFont="1" applyFill="1" applyBorder="1"/>
    <xf numFmtId="164" fontId="5" fillId="2" borderId="4" xfId="0" applyNumberFormat="1" applyFont="1" applyFill="1" applyBorder="1"/>
    <xf numFmtId="164" fontId="5" fillId="2" borderId="15" xfId="1" applyNumberFormat="1" applyFont="1" applyFill="1" applyBorder="1"/>
    <xf numFmtId="0" fontId="0" fillId="3" borderId="15" xfId="0" applyFill="1" applyBorder="1" applyProtection="1">
      <protection locked="0"/>
    </xf>
    <xf numFmtId="0" fontId="1" fillId="3" borderId="15" xfId="0" applyFont="1" applyFill="1" applyBorder="1" applyProtection="1">
      <protection locked="0"/>
    </xf>
    <xf numFmtId="0" fontId="0" fillId="3" borderId="14" xfId="0" applyFill="1" applyBorder="1" applyProtection="1">
      <protection locked="0"/>
    </xf>
    <xf numFmtId="0" fontId="6" fillId="3" borderId="0" xfId="0" applyFont="1" applyFill="1"/>
    <xf numFmtId="0" fontId="0" fillId="3" borderId="0" xfId="0" applyFill="1"/>
    <xf numFmtId="43" fontId="0" fillId="2" borderId="0" xfId="3" applyFont="1" applyFill="1"/>
    <xf numFmtId="43" fontId="0" fillId="2" borderId="1" xfId="3" applyFont="1" applyFill="1" applyBorder="1"/>
    <xf numFmtId="166" fontId="0" fillId="2" borderId="0" xfId="0" applyNumberFormat="1" applyFill="1"/>
    <xf numFmtId="166" fontId="0" fillId="2" borderId="0" xfId="1" applyNumberFormat="1" applyFont="1" applyFill="1"/>
    <xf numFmtId="0" fontId="10" fillId="2" borderId="3" xfId="0" applyFont="1" applyFill="1" applyBorder="1" applyAlignment="1">
      <alignment horizontal="right" wrapText="1"/>
    </xf>
    <xf numFmtId="0" fontId="11" fillId="0" borderId="0" xfId="0" applyFont="1"/>
    <xf numFmtId="0" fontId="5" fillId="2" borderId="0" xfId="0" applyFont="1" applyFill="1"/>
    <xf numFmtId="0" fontId="6" fillId="2" borderId="4" xfId="0" applyFont="1" applyFill="1" applyBorder="1" applyAlignment="1">
      <alignment vertical="center" wrapText="1"/>
    </xf>
    <xf numFmtId="164" fontId="12" fillId="2" borderId="4" xfId="0" applyNumberFormat="1" applyFont="1" applyFill="1" applyBorder="1"/>
    <xf numFmtId="0" fontId="13" fillId="2" borderId="0" xfId="2" applyFont="1" applyFill="1" applyBorder="1" applyAlignment="1">
      <alignment horizontal="right"/>
    </xf>
    <xf numFmtId="0" fontId="14" fillId="2" borderId="0" xfId="0" applyFont="1" applyFill="1"/>
    <xf numFmtId="0" fontId="15" fillId="2" borderId="0" xfId="0" applyFont="1" applyFill="1" applyAlignment="1">
      <alignment horizontal="right"/>
    </xf>
    <xf numFmtId="0" fontId="6" fillId="4" borderId="0" xfId="0" applyFont="1" applyFill="1"/>
    <xf numFmtId="0" fontId="0" fillId="4" borderId="0" xfId="0" applyFill="1"/>
    <xf numFmtId="0" fontId="0" fillId="4" borderId="15" xfId="0" applyFill="1" applyBorder="1" applyProtection="1">
      <protection locked="0"/>
    </xf>
    <xf numFmtId="0" fontId="1" fillId="4" borderId="15" xfId="0" applyFont="1" applyFill="1" applyBorder="1" applyProtection="1">
      <protection locked="0"/>
    </xf>
    <xf numFmtId="0" fontId="0" fillId="4" borderId="14" xfId="0" applyFill="1" applyBorder="1" applyProtection="1">
      <protection locked="0"/>
    </xf>
    <xf numFmtId="164" fontId="15" fillId="2" borderId="16" xfId="0" applyNumberFormat="1" applyFont="1" applyFill="1" applyBorder="1"/>
    <xf numFmtId="165" fontId="0" fillId="2" borderId="0" xfId="1" applyNumberFormat="1" applyFont="1" applyFill="1"/>
    <xf numFmtId="164" fontId="0" fillId="5" borderId="0" xfId="0" applyNumberFormat="1" applyFill="1" applyAlignment="1">
      <alignment horizontal="right"/>
    </xf>
    <xf numFmtId="3" fontId="0" fillId="2" borderId="0" xfId="0" applyNumberFormat="1" applyFill="1"/>
    <xf numFmtId="167" fontId="0" fillId="2" borderId="0" xfId="0" applyNumberFormat="1" applyFill="1"/>
    <xf numFmtId="2" fontId="11" fillId="0" borderId="0" xfId="0" applyNumberFormat="1" applyFont="1"/>
    <xf numFmtId="0" fontId="11" fillId="2" borderId="0" xfId="0" applyFont="1" applyFill="1" applyAlignment="1">
      <alignment vertical="center"/>
    </xf>
    <xf numFmtId="168" fontId="0" fillId="5" borderId="0" xfId="3" applyNumberFormat="1" applyFont="1" applyFill="1" applyAlignment="1">
      <alignment horizontal="right"/>
    </xf>
    <xf numFmtId="164" fontId="0" fillId="5" borderId="0" xfId="1" applyNumberFormat="1" applyFont="1" applyFill="1" applyAlignment="1">
      <alignment horizontal="right"/>
    </xf>
    <xf numFmtId="0" fontId="5" fillId="2" borderId="11"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12"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0" fillId="2" borderId="4" xfId="0" applyFill="1" applyBorder="1" applyAlignment="1">
      <alignment horizontal="center" vertical="center" wrapText="1"/>
    </xf>
    <xf numFmtId="0" fontId="0" fillId="2" borderId="1" xfId="0" applyFill="1" applyBorder="1" applyAlignment="1">
      <alignment wrapText="1"/>
    </xf>
    <xf numFmtId="0" fontId="0" fillId="2" borderId="0" xfId="0" applyFill="1" applyAlignment="1">
      <alignment horizontal="left" wrapText="1"/>
    </xf>
    <xf numFmtId="0" fontId="0" fillId="2" borderId="0" xfId="0" applyFill="1" applyAlignment="1">
      <alignment vertical="center" wrapText="1"/>
    </xf>
    <xf numFmtId="0" fontId="0" fillId="2" borderId="3" xfId="0" applyFill="1" applyBorder="1" applyAlignment="1">
      <alignment horizontal="center" vertical="center" wrapText="1"/>
    </xf>
    <xf numFmtId="0" fontId="0" fillId="2" borderId="1" xfId="0" applyFill="1" applyBorder="1" applyAlignment="1">
      <alignment horizontal="center" vertical="center" wrapText="1"/>
    </xf>
    <xf numFmtId="0" fontId="0" fillId="2" borderId="3" xfId="0" applyFill="1" applyBorder="1" applyAlignment="1">
      <alignment horizontal="left" vertical="center" wrapText="1"/>
    </xf>
    <xf numFmtId="0" fontId="0" fillId="2" borderId="1" xfId="0" applyFill="1" applyBorder="1" applyAlignment="1">
      <alignment horizontal="left" vertical="center" wrapText="1"/>
    </xf>
  </cellXfs>
  <cellStyles count="4">
    <cellStyle name="Comma" xfId="3" builtinId="3"/>
    <cellStyle name="Currency" xfId="1" builtinId="4"/>
    <cellStyle name="Hyperlink" xfId="2" builtinId="8"/>
    <cellStyle name="Normal" xfId="0" builtinId="0"/>
  </cellStyles>
  <dxfs count="0"/>
  <tableStyles count="0" defaultTableStyle="TableStyleMedium2" defaultPivotStyle="PivotStyleLight16"/>
  <colors>
    <mruColors>
      <color rgb="FFFBFEE6"/>
      <color rgb="FFE6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11</xdr:col>
      <xdr:colOff>123825</xdr:colOff>
      <xdr:row>0</xdr:row>
      <xdr:rowOff>9525</xdr:rowOff>
    </xdr:from>
    <xdr:to>
      <xdr:col>13</xdr:col>
      <xdr:colOff>800101</xdr:colOff>
      <xdr:row>5</xdr:row>
      <xdr:rowOff>112161</xdr:rowOff>
    </xdr:to>
    <xdr:pic>
      <xdr:nvPicPr>
        <xdr:cNvPr id="3" name="Picture 2">
          <a:extLst>
            <a:ext uri="{FF2B5EF4-FFF2-40B4-BE49-F238E27FC236}">
              <a16:creationId xmlns:a16="http://schemas.microsoft.com/office/drawing/2014/main" id="{A4914EA9-EAB9-45C9-AD0C-29E31BFB91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20075" y="9525"/>
          <a:ext cx="2047876" cy="1055136"/>
        </a:xfrm>
        <a:prstGeom prst="rect">
          <a:avLst/>
        </a:prstGeom>
        <a:ln>
          <a:solidFill>
            <a:schemeClr val="bg1"/>
          </a:solidFill>
        </a:ln>
      </xdr:spPr>
    </xdr:pic>
    <xdr:clientData/>
  </xdr:twoCellAnchor>
  <xdr:twoCellAnchor editAs="oneCell">
    <xdr:from>
      <xdr:col>0</xdr:col>
      <xdr:colOff>0</xdr:colOff>
      <xdr:row>0</xdr:row>
      <xdr:rowOff>0</xdr:rowOff>
    </xdr:from>
    <xdr:to>
      <xdr:col>2</xdr:col>
      <xdr:colOff>33617</xdr:colOff>
      <xdr:row>5</xdr:row>
      <xdr:rowOff>95250</xdr:rowOff>
    </xdr:to>
    <xdr:pic>
      <xdr:nvPicPr>
        <xdr:cNvPr id="4" name="Picture 3">
          <a:extLst>
            <a:ext uri="{FF2B5EF4-FFF2-40B4-BE49-F238E27FC236}">
              <a16:creationId xmlns:a16="http://schemas.microsoft.com/office/drawing/2014/main" id="{BB556305-D647-49C3-B301-347A82CCACE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033867" cy="1047750"/>
        </a:xfrm>
        <a:prstGeom prst="rect">
          <a:avLst/>
        </a:prstGeom>
        <a:ln>
          <a:solidFill>
            <a:schemeClr val="bg1"/>
          </a:solid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95250</xdr:colOff>
      <xdr:row>0</xdr:row>
      <xdr:rowOff>28575</xdr:rowOff>
    </xdr:from>
    <xdr:to>
      <xdr:col>13</xdr:col>
      <xdr:colOff>771526</xdr:colOff>
      <xdr:row>5</xdr:row>
      <xdr:rowOff>131211</xdr:rowOff>
    </xdr:to>
    <xdr:pic>
      <xdr:nvPicPr>
        <xdr:cNvPr id="3" name="Picture 2">
          <a:extLst>
            <a:ext uri="{FF2B5EF4-FFF2-40B4-BE49-F238E27FC236}">
              <a16:creationId xmlns:a16="http://schemas.microsoft.com/office/drawing/2014/main" id="{5C10F3B1-79F7-497B-9E3F-4BDC0A09AEB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220075" y="28575"/>
          <a:ext cx="2047876" cy="1055136"/>
        </a:xfrm>
        <a:prstGeom prst="rect">
          <a:avLst/>
        </a:prstGeom>
        <a:ln>
          <a:solidFill>
            <a:schemeClr val="bg1"/>
          </a:solidFill>
        </a:ln>
      </xdr:spPr>
    </xdr:pic>
    <xdr:clientData/>
  </xdr:twoCellAnchor>
  <xdr:twoCellAnchor editAs="oneCell">
    <xdr:from>
      <xdr:col>0</xdr:col>
      <xdr:colOff>0</xdr:colOff>
      <xdr:row>0</xdr:row>
      <xdr:rowOff>19050</xdr:rowOff>
    </xdr:from>
    <xdr:to>
      <xdr:col>2</xdr:col>
      <xdr:colOff>5042</xdr:colOff>
      <xdr:row>5</xdr:row>
      <xdr:rowOff>114300</xdr:rowOff>
    </xdr:to>
    <xdr:pic>
      <xdr:nvPicPr>
        <xdr:cNvPr id="4" name="Picture 3">
          <a:extLst>
            <a:ext uri="{FF2B5EF4-FFF2-40B4-BE49-F238E27FC236}">
              <a16:creationId xmlns:a16="http://schemas.microsoft.com/office/drawing/2014/main" id="{882F8AFB-835F-43F2-B2EA-126CA251A0C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19050"/>
          <a:ext cx="2033867" cy="1047750"/>
        </a:xfrm>
        <a:prstGeom prst="rect">
          <a:avLst/>
        </a:prstGeom>
        <a:ln>
          <a:solidFill>
            <a:schemeClr val="bg1"/>
          </a:solid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790575</xdr:colOff>
      <xdr:row>0</xdr:row>
      <xdr:rowOff>0</xdr:rowOff>
    </xdr:from>
    <xdr:to>
      <xdr:col>11</xdr:col>
      <xdr:colOff>857251</xdr:colOff>
      <xdr:row>5</xdr:row>
      <xdr:rowOff>102636</xdr:rowOff>
    </xdr:to>
    <xdr:pic>
      <xdr:nvPicPr>
        <xdr:cNvPr id="4" name="Picture 3">
          <a:extLst>
            <a:ext uri="{FF2B5EF4-FFF2-40B4-BE49-F238E27FC236}">
              <a16:creationId xmlns:a16="http://schemas.microsoft.com/office/drawing/2014/main" id="{72D56A0C-762D-ED71-CA28-8EB67EC9FAD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72575" y="0"/>
          <a:ext cx="2047876" cy="1055136"/>
        </a:xfrm>
        <a:prstGeom prst="rect">
          <a:avLst/>
        </a:prstGeom>
        <a:ln>
          <a:solidFill>
            <a:schemeClr val="bg1"/>
          </a:solidFill>
        </a:ln>
      </xdr:spPr>
    </xdr:pic>
    <xdr:clientData/>
  </xdr:twoCellAnchor>
  <xdr:twoCellAnchor editAs="oneCell">
    <xdr:from>
      <xdr:col>0</xdr:col>
      <xdr:colOff>0</xdr:colOff>
      <xdr:row>0</xdr:row>
      <xdr:rowOff>0</xdr:rowOff>
    </xdr:from>
    <xdr:to>
      <xdr:col>1</xdr:col>
      <xdr:colOff>814667</xdr:colOff>
      <xdr:row>5</xdr:row>
      <xdr:rowOff>95250</xdr:rowOff>
    </xdr:to>
    <xdr:pic>
      <xdr:nvPicPr>
        <xdr:cNvPr id="6" name="Picture 5">
          <a:extLst>
            <a:ext uri="{FF2B5EF4-FFF2-40B4-BE49-F238E27FC236}">
              <a16:creationId xmlns:a16="http://schemas.microsoft.com/office/drawing/2014/main" id="{B7EC8207-E0D9-16F0-BF4D-7CFBC4C75DD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0"/>
          <a:ext cx="2033867" cy="1047750"/>
        </a:xfrm>
        <a:prstGeom prst="rect">
          <a:avLst/>
        </a:prstGeom>
        <a:ln>
          <a:solidFill>
            <a:schemeClr val="bg1"/>
          </a:solid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DE4395-5EC9-40FF-8199-C67E10B651CF}">
  <sheetPr>
    <pageSetUpPr fitToPage="1"/>
  </sheetPr>
  <dimension ref="A2:N34"/>
  <sheetViews>
    <sheetView tabSelected="1" workbookViewId="0"/>
  </sheetViews>
  <sheetFormatPr defaultColWidth="9.21875" defaultRowHeight="14.4" x14ac:dyDescent="0.3"/>
  <cols>
    <col min="1" max="1" width="19.77734375" style="1" customWidth="1"/>
    <col min="2" max="13" width="10.21875" style="1" customWidth="1"/>
    <col min="14" max="14" width="12.21875" style="1" customWidth="1"/>
    <col min="15" max="16384" width="9.21875" style="1"/>
  </cols>
  <sheetData>
    <row r="2" spans="1:14" x14ac:dyDescent="0.3">
      <c r="G2" s="23" t="s">
        <v>90</v>
      </c>
    </row>
    <row r="3" spans="1:14" x14ac:dyDescent="0.3">
      <c r="G3" s="6" t="s">
        <v>38</v>
      </c>
    </row>
    <row r="4" spans="1:14" x14ac:dyDescent="0.3">
      <c r="G4" s="6" t="s">
        <v>39</v>
      </c>
    </row>
    <row r="5" spans="1:14" x14ac:dyDescent="0.3">
      <c r="G5" s="6"/>
    </row>
    <row r="6" spans="1:14" x14ac:dyDescent="0.3">
      <c r="G6" s="6"/>
    </row>
    <row r="7" spans="1:14" x14ac:dyDescent="0.3">
      <c r="A7" s="46" t="s">
        <v>40</v>
      </c>
      <c r="B7" s="47"/>
      <c r="C7" s="47"/>
      <c r="D7" s="47"/>
    </row>
    <row r="9" spans="1:14" x14ac:dyDescent="0.3">
      <c r="A9" s="80" t="s">
        <v>60</v>
      </c>
      <c r="B9" s="14" t="s">
        <v>1</v>
      </c>
      <c r="C9" s="14"/>
      <c r="D9" s="15" t="s">
        <v>4</v>
      </c>
      <c r="E9" s="16"/>
      <c r="F9" s="14" t="s">
        <v>5</v>
      </c>
      <c r="G9" s="14"/>
      <c r="H9" s="15" t="s">
        <v>6</v>
      </c>
      <c r="I9" s="16"/>
      <c r="J9" s="14" t="s">
        <v>7</v>
      </c>
      <c r="K9" s="14"/>
      <c r="L9" s="74" t="s">
        <v>8</v>
      </c>
      <c r="M9" s="76" t="s">
        <v>42</v>
      </c>
      <c r="N9" s="78" t="s">
        <v>41</v>
      </c>
    </row>
    <row r="10" spans="1:14" s="4" customFormat="1" ht="43.2" x14ac:dyDescent="0.3">
      <c r="A10" s="80" t="s">
        <v>16</v>
      </c>
      <c r="B10" s="17" t="s">
        <v>2</v>
      </c>
      <c r="C10" s="18" t="s">
        <v>3</v>
      </c>
      <c r="D10" s="18" t="s">
        <v>2</v>
      </c>
      <c r="E10" s="18" t="s">
        <v>3</v>
      </c>
      <c r="F10" s="18" t="s">
        <v>2</v>
      </c>
      <c r="G10" s="18" t="s">
        <v>3</v>
      </c>
      <c r="H10" s="18" t="s">
        <v>2</v>
      </c>
      <c r="I10" s="18" t="s">
        <v>3</v>
      </c>
      <c r="J10" s="18" t="s">
        <v>2</v>
      </c>
      <c r="K10" s="18" t="s">
        <v>3</v>
      </c>
      <c r="L10" s="75"/>
      <c r="M10" s="77"/>
      <c r="N10" s="79"/>
    </row>
    <row r="11" spans="1:14" x14ac:dyDescent="0.3">
      <c r="A11" s="21" t="s">
        <v>11</v>
      </c>
      <c r="B11" s="43"/>
      <c r="C11" s="43"/>
      <c r="D11" s="43"/>
      <c r="E11" s="43"/>
      <c r="F11" s="43"/>
      <c r="G11" s="43"/>
      <c r="H11" s="43"/>
      <c r="I11" s="43"/>
      <c r="J11" s="43"/>
      <c r="K11" s="43"/>
      <c r="L11" s="38">
        <f>IFERROR(+B11+D11+F11+H11+J11+(C11+E11+G11+I11+K11)/2,"Error")</f>
        <v>0</v>
      </c>
      <c r="M11" s="42">
        <f>VLOOKUP(A11,Details!$A$13:$L$33,12,0)</f>
        <v>21.76416</v>
      </c>
      <c r="N11" s="40">
        <f>IFERROR(+M11*L11,"Error")</f>
        <v>0</v>
      </c>
    </row>
    <row r="12" spans="1:14" x14ac:dyDescent="0.3">
      <c r="A12" s="21" t="s">
        <v>0</v>
      </c>
      <c r="B12" s="43"/>
      <c r="C12" s="43"/>
      <c r="D12" s="43"/>
      <c r="E12" s="43"/>
      <c r="F12" s="43"/>
      <c r="G12" s="43"/>
      <c r="H12" s="43"/>
      <c r="I12" s="43"/>
      <c r="J12" s="43"/>
      <c r="K12" s="43"/>
      <c r="L12" s="38">
        <f t="shared" ref="L12:L19" si="0">IFERROR(+B12+D12+F12+H12+J12+(C12+E12+G12+I12+K12)/2,"Error")</f>
        <v>0</v>
      </c>
      <c r="M12" s="42">
        <f>VLOOKUP(A12,Details!$A$13:$L$33,12,0)</f>
        <v>42.506360000000001</v>
      </c>
      <c r="N12" s="40">
        <f t="shared" ref="N12:N19" si="1">IFERROR(+M12*L12,"Error")</f>
        <v>0</v>
      </c>
    </row>
    <row r="13" spans="1:14" ht="16.2" x14ac:dyDescent="0.3">
      <c r="A13" s="21" t="s">
        <v>14</v>
      </c>
      <c r="B13" s="43"/>
      <c r="C13" s="43"/>
      <c r="D13" s="43"/>
      <c r="E13" s="43"/>
      <c r="F13" s="44"/>
      <c r="G13" s="43"/>
      <c r="H13" s="43"/>
      <c r="I13" s="43"/>
      <c r="J13" s="43"/>
      <c r="K13" s="43"/>
      <c r="L13" s="38">
        <f t="shared" si="0"/>
        <v>0</v>
      </c>
      <c r="M13" s="42">
        <f>VLOOKUP(A13,Details!$A$13:$L$33,12,0)</f>
        <v>87.25755999999997</v>
      </c>
      <c r="N13" s="40">
        <f t="shared" si="1"/>
        <v>0</v>
      </c>
    </row>
    <row r="14" spans="1:14" x14ac:dyDescent="0.3">
      <c r="A14" s="21" t="s">
        <v>12</v>
      </c>
      <c r="B14" s="43"/>
      <c r="C14" s="43"/>
      <c r="D14" s="43"/>
      <c r="E14" s="43"/>
      <c r="F14" s="43"/>
      <c r="G14" s="43"/>
      <c r="H14" s="43"/>
      <c r="I14" s="43"/>
      <c r="J14" s="43"/>
      <c r="K14" s="43"/>
      <c r="L14" s="38">
        <f t="shared" si="0"/>
        <v>0</v>
      </c>
      <c r="M14" s="42">
        <f>VLOOKUP(A14,Details!$A$13:$L$33,12,0)</f>
        <v>77.658360000000002</v>
      </c>
      <c r="N14" s="40">
        <f t="shared" si="1"/>
        <v>0</v>
      </c>
    </row>
    <row r="15" spans="1:14" x14ac:dyDescent="0.3">
      <c r="A15" s="21" t="s">
        <v>53</v>
      </c>
      <c r="B15" s="43"/>
      <c r="C15" s="43"/>
      <c r="D15" s="43"/>
      <c r="E15" s="43"/>
      <c r="F15" s="43"/>
      <c r="G15" s="43"/>
      <c r="H15" s="43"/>
      <c r="I15" s="43"/>
      <c r="J15" s="43"/>
      <c r="K15" s="43"/>
      <c r="L15" s="38">
        <f t="shared" ref="L15" si="2">IFERROR(+B15+D15+F15+H15+J15+(C15+E15+G15+I15+K15)/2,"Error")</f>
        <v>0</v>
      </c>
      <c r="M15" s="42">
        <f>VLOOKUP(A15,Details!$A$13:$L$33,12,0)</f>
        <v>76.30255600000001</v>
      </c>
      <c r="N15" s="40">
        <f t="shared" ref="N15" si="3">IFERROR(+M15*L15,"Error")</f>
        <v>0</v>
      </c>
    </row>
    <row r="16" spans="1:14" ht="16.2" x14ac:dyDescent="0.3">
      <c r="A16" s="21" t="s">
        <v>15</v>
      </c>
      <c r="B16" s="43"/>
      <c r="C16" s="43"/>
      <c r="D16" s="43"/>
      <c r="E16" s="43"/>
      <c r="F16" s="43"/>
      <c r="G16" s="43"/>
      <c r="H16" s="43"/>
      <c r="I16" s="43"/>
      <c r="J16" s="43"/>
      <c r="K16" s="43"/>
      <c r="L16" s="38">
        <f t="shared" si="0"/>
        <v>0</v>
      </c>
      <c r="M16" s="42">
        <f>VLOOKUP(A16,Details!$A$13:$L$33,12,0)</f>
        <v>69.517280000000014</v>
      </c>
      <c r="N16" s="40">
        <f t="shared" si="1"/>
        <v>0</v>
      </c>
    </row>
    <row r="17" spans="1:14" ht="16.2" x14ac:dyDescent="0.3">
      <c r="A17" s="21" t="s">
        <v>28</v>
      </c>
      <c r="B17" s="43"/>
      <c r="C17" s="43"/>
      <c r="D17" s="43"/>
      <c r="E17" s="43"/>
      <c r="F17" s="43"/>
      <c r="G17" s="43"/>
      <c r="H17" s="43"/>
      <c r="I17" s="43"/>
      <c r="J17" s="43"/>
      <c r="K17" s="43"/>
      <c r="L17" s="38">
        <f t="shared" si="0"/>
        <v>0</v>
      </c>
      <c r="M17" s="42">
        <f>VLOOKUP(A17,Details!$A$13:$L$33,12,0)</f>
        <v>42.575520000000004</v>
      </c>
      <c r="N17" s="40">
        <f t="shared" si="1"/>
        <v>0</v>
      </c>
    </row>
    <row r="18" spans="1:14" x14ac:dyDescent="0.3">
      <c r="A18" s="21" t="s">
        <v>9</v>
      </c>
      <c r="B18" s="43"/>
      <c r="C18" s="43"/>
      <c r="D18" s="43"/>
      <c r="E18" s="43"/>
      <c r="F18" s="43"/>
      <c r="G18" s="43"/>
      <c r="H18" s="43"/>
      <c r="I18" s="43"/>
      <c r="J18" s="43"/>
      <c r="K18" s="43"/>
      <c r="L18" s="38">
        <f t="shared" si="0"/>
        <v>0</v>
      </c>
      <c r="M18" s="42">
        <f>VLOOKUP(A18,Details!$A$13:$L$33,12,0)</f>
        <v>29.498040000000003</v>
      </c>
      <c r="N18" s="40">
        <f t="shared" si="1"/>
        <v>0</v>
      </c>
    </row>
    <row r="19" spans="1:14" x14ac:dyDescent="0.3">
      <c r="A19" s="22" t="s">
        <v>10</v>
      </c>
      <c r="B19" s="45"/>
      <c r="C19" s="45"/>
      <c r="D19" s="45"/>
      <c r="E19" s="45"/>
      <c r="F19" s="45"/>
      <c r="G19" s="45"/>
      <c r="H19" s="45"/>
      <c r="I19" s="45"/>
      <c r="J19" s="45"/>
      <c r="K19" s="45"/>
      <c r="L19" s="38">
        <f t="shared" si="0"/>
        <v>0</v>
      </c>
      <c r="M19" s="42">
        <f>VLOOKUP(A19,Details!$A$13:$L$33,12,0)</f>
        <v>30.691960000000012</v>
      </c>
      <c r="N19" s="40">
        <f t="shared" si="1"/>
        <v>0</v>
      </c>
    </row>
    <row r="20" spans="1:14" ht="18" customHeight="1" x14ac:dyDescent="0.3">
      <c r="A20" s="55" t="s">
        <v>70</v>
      </c>
      <c r="B20" s="24">
        <f>IFERROR(SUM(B11:B19),"Error")</f>
        <v>0</v>
      </c>
      <c r="C20" s="24">
        <f t="shared" ref="C20:L20" si="4">IFERROR(SUM(C11:C19),"Error")</f>
        <v>0</v>
      </c>
      <c r="D20" s="24">
        <f t="shared" si="4"/>
        <v>0</v>
      </c>
      <c r="E20" s="24">
        <f t="shared" si="4"/>
        <v>0</v>
      </c>
      <c r="F20" s="24">
        <f t="shared" si="4"/>
        <v>0</v>
      </c>
      <c r="G20" s="24">
        <f t="shared" si="4"/>
        <v>0</v>
      </c>
      <c r="H20" s="24">
        <f t="shared" si="4"/>
        <v>0</v>
      </c>
      <c r="I20" s="24">
        <f t="shared" si="4"/>
        <v>0</v>
      </c>
      <c r="J20" s="24">
        <f t="shared" si="4"/>
        <v>0</v>
      </c>
      <c r="K20" s="24">
        <f t="shared" si="4"/>
        <v>0</v>
      </c>
      <c r="L20" s="39">
        <f t="shared" si="4"/>
        <v>0</v>
      </c>
      <c r="M20" s="20"/>
      <c r="N20" s="56">
        <f>IFERROR(SUM(N11:N19),"Error")</f>
        <v>0</v>
      </c>
    </row>
    <row r="21" spans="1:14" x14ac:dyDescent="0.3">
      <c r="A21" s="5"/>
      <c r="L21" s="54"/>
      <c r="M21" s="57" t="s">
        <v>71</v>
      </c>
      <c r="N21" s="56">
        <f>+'Other Crops'!N23</f>
        <v>0</v>
      </c>
    </row>
    <row r="22" spans="1:14" ht="15" thickBot="1" x14ac:dyDescent="0.35">
      <c r="A22" s="5" t="s">
        <v>17</v>
      </c>
      <c r="K22" s="58"/>
      <c r="L22" s="58"/>
      <c r="M22" s="59" t="s">
        <v>73</v>
      </c>
      <c r="N22" s="65">
        <f>+N21+N20</f>
        <v>0</v>
      </c>
    </row>
    <row r="23" spans="1:14" ht="16.8" thickTop="1" x14ac:dyDescent="0.3">
      <c r="A23" s="11" t="s">
        <v>13</v>
      </c>
      <c r="N23" s="33" t="str">
        <f>"Your total payments exceed "&amp;IF(N22&gt;N24,"the high global cap. Revise the global payment limitations* below.",IF(N22&gt;N25,"the low global cap. Revise the global payment limitations* below.", "none of the global payment* limitations."))</f>
        <v>Your total payments exceed none of the global payment* limitations.</v>
      </c>
    </row>
    <row r="24" spans="1:14" ht="16.2" x14ac:dyDescent="0.3">
      <c r="A24" s="1" t="s">
        <v>88</v>
      </c>
      <c r="M24" s="32" t="s">
        <v>45</v>
      </c>
      <c r="N24" s="8">
        <v>250000</v>
      </c>
    </row>
    <row r="25" spans="1:14" ht="16.2" x14ac:dyDescent="0.3">
      <c r="A25" s="1" t="s">
        <v>27</v>
      </c>
      <c r="M25" s="32" t="s">
        <v>46</v>
      </c>
      <c r="N25" s="8">
        <v>125000</v>
      </c>
    </row>
    <row r="26" spans="1:14" x14ac:dyDescent="0.3">
      <c r="A26" s="25" t="s">
        <v>43</v>
      </c>
    </row>
    <row r="28" spans="1:14" x14ac:dyDescent="0.3">
      <c r="A28" s="1" t="s">
        <v>49</v>
      </c>
    </row>
    <row r="29" spans="1:14" ht="30.75" customHeight="1" x14ac:dyDescent="0.3">
      <c r="A29" s="82" t="s">
        <v>47</v>
      </c>
      <c r="B29" s="82"/>
      <c r="C29" s="82"/>
      <c r="D29" s="82"/>
      <c r="E29" s="82"/>
      <c r="F29" s="82"/>
      <c r="G29" s="82"/>
      <c r="H29" s="82"/>
      <c r="I29" s="82"/>
      <c r="J29" s="82"/>
      <c r="K29" s="82"/>
      <c r="L29" s="82"/>
      <c r="M29" s="82"/>
      <c r="N29" s="82"/>
    </row>
    <row r="30" spans="1:14" x14ac:dyDescent="0.3">
      <c r="A30" s="1" t="s">
        <v>48</v>
      </c>
    </row>
    <row r="32" spans="1:14" x14ac:dyDescent="0.3">
      <c r="A32" s="34" t="s">
        <v>44</v>
      </c>
      <c r="B32" s="35"/>
      <c r="C32" s="35"/>
      <c r="D32" s="35"/>
      <c r="E32" s="35"/>
      <c r="F32" s="35"/>
      <c r="G32" s="35"/>
      <c r="H32" s="35"/>
      <c r="I32" s="35"/>
      <c r="J32" s="35"/>
      <c r="K32" s="35"/>
      <c r="L32" s="35"/>
      <c r="M32" s="35"/>
      <c r="N32" s="35"/>
    </row>
    <row r="33" spans="1:14" ht="31.5" customHeight="1" x14ac:dyDescent="0.3">
      <c r="A33" s="81" t="s">
        <v>91</v>
      </c>
      <c r="B33" s="81"/>
      <c r="C33" s="81"/>
      <c r="D33" s="81"/>
      <c r="E33" s="81"/>
      <c r="F33" s="81"/>
      <c r="G33" s="81"/>
      <c r="H33" s="81"/>
      <c r="I33" s="81"/>
      <c r="J33" s="81"/>
      <c r="K33" s="81"/>
      <c r="L33" s="81"/>
      <c r="M33" s="81"/>
      <c r="N33" s="81"/>
    </row>
    <row r="34" spans="1:14" x14ac:dyDescent="0.3">
      <c r="A34" s="1" t="s">
        <v>51</v>
      </c>
      <c r="M34" s="1" t="s">
        <v>50</v>
      </c>
      <c r="N34" s="36">
        <f ca="1">+TODAY()</f>
        <v>45650</v>
      </c>
    </row>
  </sheetData>
  <sheetProtection algorithmName="SHA-512" hashValue="frstoqkxpKq4bAUsefx58yPFe35jnZfPJvd1rDPP0fmFX5XpTypc5jFCqxOwG3AsjvxUuxFWJzX3qpvg3Ayg9g==" saltValue="3xtmRVbUpkcNbJD2xH9JjQ==" spinCount="100000" sheet="1" objects="1" scenarios="1"/>
  <sortState xmlns:xlrd2="http://schemas.microsoft.com/office/spreadsheetml/2017/richdata2" ref="A11:A19">
    <sortCondition ref="A11:A19"/>
  </sortState>
  <mergeCells count="6">
    <mergeCell ref="L9:L10"/>
    <mergeCell ref="M9:M10"/>
    <mergeCell ref="N9:N10"/>
    <mergeCell ref="A9:A10"/>
    <mergeCell ref="A33:N33"/>
    <mergeCell ref="A29:N29"/>
  </mergeCells>
  <hyperlinks>
    <hyperlink ref="A26" location="Details!A1" display="^ See Details tab." xr:uid="{8619ED88-63A6-49B6-A062-C8E97A1CFC0D}"/>
    <hyperlink ref="M21" location="'Other Crops'!A1" display="Subtotal Other Crops" xr:uid="{C8A4C863-F1B5-47D2-9CFA-8D93B3F6075C}"/>
  </hyperlinks>
  <pageMargins left="0.25" right="0.25" top="0.75" bottom="0.75" header="0.3" footer="0.3"/>
  <pageSetup scale="8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2414EC-2B4B-4DB9-9F22-053189AD4052}">
  <sheetPr>
    <pageSetUpPr fitToPage="1"/>
  </sheetPr>
  <dimension ref="A2:Q35"/>
  <sheetViews>
    <sheetView workbookViewId="0"/>
  </sheetViews>
  <sheetFormatPr defaultColWidth="9.21875" defaultRowHeight="14.4" x14ac:dyDescent="0.3"/>
  <cols>
    <col min="1" max="1" width="20.21875" style="1" customWidth="1"/>
    <col min="2" max="13" width="10.21875" style="1" customWidth="1"/>
    <col min="14" max="14" width="12.21875" style="1" customWidth="1"/>
    <col min="15" max="16384" width="9.21875" style="1"/>
  </cols>
  <sheetData>
    <row r="2" spans="1:17" x14ac:dyDescent="0.3">
      <c r="G2" s="23" t="str">
        <f>+'Major Crops'!G2</f>
        <v>AMERICAN RELEIEF ACT - ECONOMIC ASSISTANCE CALCULATOR</v>
      </c>
    </row>
    <row r="3" spans="1:17" x14ac:dyDescent="0.3">
      <c r="G3" s="6" t="str">
        <f>+'Major Crops'!G3</f>
        <v>RaFF Decision Tool 2024-12(1)</v>
      </c>
    </row>
    <row r="4" spans="1:17" x14ac:dyDescent="0.3">
      <c r="G4" s="6" t="str">
        <f>+'Major Crops'!G4</f>
        <v>Version: 12/20/2024</v>
      </c>
      <c r="Q4" s="5"/>
    </row>
    <row r="5" spans="1:17" x14ac:dyDescent="0.3">
      <c r="G5" s="6"/>
      <c r="Q5" s="5"/>
    </row>
    <row r="6" spans="1:17" x14ac:dyDescent="0.3">
      <c r="G6" s="6"/>
      <c r="Q6" s="5"/>
    </row>
    <row r="7" spans="1:17" x14ac:dyDescent="0.3">
      <c r="A7" s="60" t="s">
        <v>40</v>
      </c>
      <c r="B7" s="61"/>
      <c r="C7" s="61"/>
      <c r="D7" s="61"/>
      <c r="H7" s="53"/>
      <c r="Q7" s="5"/>
    </row>
    <row r="8" spans="1:17" x14ac:dyDescent="0.3">
      <c r="Q8" s="5"/>
    </row>
    <row r="9" spans="1:17" x14ac:dyDescent="0.3">
      <c r="A9" s="80" t="s">
        <v>72</v>
      </c>
      <c r="B9" s="14" t="s">
        <v>1</v>
      </c>
      <c r="C9" s="14"/>
      <c r="D9" s="15" t="s">
        <v>4</v>
      </c>
      <c r="E9" s="16"/>
      <c r="F9" s="14" t="s">
        <v>5</v>
      </c>
      <c r="G9" s="14"/>
      <c r="H9" s="15" t="s">
        <v>6</v>
      </c>
      <c r="I9" s="16"/>
      <c r="J9" s="14" t="s">
        <v>7</v>
      </c>
      <c r="K9" s="14"/>
      <c r="L9" s="74" t="s">
        <v>8</v>
      </c>
      <c r="M9" s="76" t="s">
        <v>42</v>
      </c>
      <c r="N9" s="78" t="s">
        <v>41</v>
      </c>
    </row>
    <row r="10" spans="1:17" s="4" customFormat="1" ht="43.2" x14ac:dyDescent="0.3">
      <c r="A10" s="80" t="s">
        <v>16</v>
      </c>
      <c r="B10" s="17" t="s">
        <v>2</v>
      </c>
      <c r="C10" s="18" t="s">
        <v>3</v>
      </c>
      <c r="D10" s="18" t="s">
        <v>2</v>
      </c>
      <c r="E10" s="18" t="s">
        <v>3</v>
      </c>
      <c r="F10" s="18" t="s">
        <v>2</v>
      </c>
      <c r="G10" s="18" t="s">
        <v>3</v>
      </c>
      <c r="H10" s="18" t="s">
        <v>2</v>
      </c>
      <c r="I10" s="18" t="s">
        <v>3</v>
      </c>
      <c r="J10" s="18" t="s">
        <v>2</v>
      </c>
      <c r="K10" s="18" t="s">
        <v>3</v>
      </c>
      <c r="L10" s="75"/>
      <c r="M10" s="77"/>
      <c r="N10" s="79"/>
    </row>
    <row r="11" spans="1:17" x14ac:dyDescent="0.3">
      <c r="A11" s="21" t="s">
        <v>59</v>
      </c>
      <c r="B11" s="62"/>
      <c r="C11" s="62"/>
      <c r="D11" s="62"/>
      <c r="E11" s="62"/>
      <c r="F11" s="62"/>
      <c r="G11" s="62"/>
      <c r="H11" s="62"/>
      <c r="I11" s="62"/>
      <c r="J11" s="62"/>
      <c r="K11" s="62"/>
      <c r="L11" s="38">
        <f>IFERROR(+B11+D11+F11+H11+J11+(C11+E11+G11+I11+K11)/2,"Error")</f>
        <v>0</v>
      </c>
      <c r="M11" s="42">
        <f>VLOOKUP(A11,Details!$A$13:$L$33,12,0)</f>
        <v>26.757061967664448</v>
      </c>
      <c r="N11" s="40">
        <f>IFERROR(+M11*L11,"Error")</f>
        <v>0</v>
      </c>
    </row>
    <row r="12" spans="1:17" x14ac:dyDescent="0.3">
      <c r="A12" s="21" t="s">
        <v>74</v>
      </c>
      <c r="B12" s="62"/>
      <c r="C12" s="62"/>
      <c r="D12" s="62"/>
      <c r="E12" s="62"/>
      <c r="F12" s="62"/>
      <c r="G12" s="62"/>
      <c r="H12" s="62"/>
      <c r="I12" s="62"/>
      <c r="J12" s="62"/>
      <c r="K12" s="62"/>
      <c r="L12" s="38">
        <f t="shared" ref="L12:L22" si="0">IFERROR(+B12+D12+F12+H12+J12+(C12+E12+G12+I12+K12)/2,"Error")</f>
        <v>0</v>
      </c>
      <c r="M12" s="42">
        <f>VLOOKUP(A12,Details!$A$13:$L$33,12,0)</f>
        <v>24.156035438715612</v>
      </c>
      <c r="N12" s="40">
        <f t="shared" ref="N12:N22" si="1">IFERROR(+M12*L12,"Error")</f>
        <v>0</v>
      </c>
    </row>
    <row r="13" spans="1:17" x14ac:dyDescent="0.3">
      <c r="A13" s="21" t="s">
        <v>75</v>
      </c>
      <c r="B13" s="62"/>
      <c r="C13" s="62"/>
      <c r="D13" s="62"/>
      <c r="E13" s="62"/>
      <c r="F13" s="62"/>
      <c r="G13" s="62"/>
      <c r="H13" s="62"/>
      <c r="I13" s="62"/>
      <c r="J13" s="62"/>
      <c r="K13" s="62"/>
      <c r="L13" s="38">
        <f t="shared" si="0"/>
        <v>0</v>
      </c>
      <c r="M13" s="42">
        <f>VLOOKUP(A13,Details!$A$13:$L$33,12,0)</f>
        <v>21.765964488142163</v>
      </c>
      <c r="N13" s="40">
        <f t="shared" si="1"/>
        <v>0</v>
      </c>
    </row>
    <row r="14" spans="1:17" ht="15.6" x14ac:dyDescent="0.3">
      <c r="A14" s="5" t="s">
        <v>67</v>
      </c>
      <c r="B14" s="62"/>
      <c r="C14" s="62"/>
      <c r="D14" s="62"/>
      <c r="E14" s="62"/>
      <c r="F14" s="63"/>
      <c r="G14" s="62"/>
      <c r="H14" s="62"/>
      <c r="I14" s="62"/>
      <c r="J14" s="62"/>
      <c r="K14" s="62"/>
      <c r="L14" s="38">
        <f t="shared" si="0"/>
        <v>0</v>
      </c>
      <c r="M14" s="42">
        <f>VLOOKUP(A14,Details!$A$13:$L$33,12,0)</f>
        <v>19.368535612206262</v>
      </c>
      <c r="N14" s="40">
        <f t="shared" si="1"/>
        <v>0</v>
      </c>
    </row>
    <row r="15" spans="1:17" x14ac:dyDescent="0.3">
      <c r="A15" s="21" t="s">
        <v>61</v>
      </c>
      <c r="B15" s="62"/>
      <c r="C15" s="62"/>
      <c r="D15" s="62"/>
      <c r="E15" s="62"/>
      <c r="F15" s="62"/>
      <c r="G15" s="62"/>
      <c r="H15" s="62"/>
      <c r="I15" s="62"/>
      <c r="J15" s="62"/>
      <c r="K15" s="62"/>
      <c r="L15" s="38">
        <f t="shared" si="0"/>
        <v>0</v>
      </c>
      <c r="M15" s="42">
        <f>VLOOKUP(A15,Details!$A$13:$L$33,12,0)</f>
        <v>16.162499080572022</v>
      </c>
      <c r="N15" s="40">
        <f t="shared" si="1"/>
        <v>0</v>
      </c>
    </row>
    <row r="16" spans="1:17" x14ac:dyDescent="0.3">
      <c r="A16" s="21" t="s">
        <v>63</v>
      </c>
      <c r="B16" s="62"/>
      <c r="C16" s="62"/>
      <c r="D16" s="62"/>
      <c r="E16" s="62"/>
      <c r="F16" s="62"/>
      <c r="G16" s="62"/>
      <c r="H16" s="62"/>
      <c r="I16" s="62"/>
      <c r="J16" s="62"/>
      <c r="K16" s="62"/>
      <c r="L16" s="38">
        <f t="shared" si="0"/>
        <v>0</v>
      </c>
      <c r="M16" s="42">
        <f>VLOOKUP(A16,Details!$A$13:$L$33,12,0)</f>
        <v>17.483652902347671</v>
      </c>
      <c r="N16" s="40">
        <f t="shared" si="1"/>
        <v>0</v>
      </c>
    </row>
    <row r="17" spans="1:14" x14ac:dyDescent="0.3">
      <c r="A17" s="21" t="s">
        <v>62</v>
      </c>
      <c r="B17" s="62"/>
      <c r="C17" s="62"/>
      <c r="D17" s="62"/>
      <c r="E17" s="62"/>
      <c r="F17" s="62"/>
      <c r="G17" s="62"/>
      <c r="H17" s="62"/>
      <c r="I17" s="62"/>
      <c r="J17" s="62"/>
      <c r="K17" s="62"/>
      <c r="L17" s="38">
        <f t="shared" si="0"/>
        <v>0</v>
      </c>
      <c r="M17" s="42">
        <f>VLOOKUP(A17,Details!$A$13:$L$33,12,0)</f>
        <v>19.323474163010289</v>
      </c>
      <c r="N17" s="40">
        <f t="shared" si="1"/>
        <v>0</v>
      </c>
    </row>
    <row r="18" spans="1:14" x14ac:dyDescent="0.3">
      <c r="A18" s="21" t="s">
        <v>64</v>
      </c>
      <c r="B18" s="62"/>
      <c r="C18" s="62"/>
      <c r="D18" s="62"/>
      <c r="E18" s="62"/>
      <c r="F18" s="62"/>
      <c r="G18" s="62"/>
      <c r="H18" s="62"/>
      <c r="I18" s="62"/>
      <c r="J18" s="62"/>
      <c r="K18" s="62"/>
      <c r="L18" s="38">
        <f t="shared" si="0"/>
        <v>0</v>
      </c>
      <c r="M18" s="42">
        <f>VLOOKUP(A18,Details!$A$13:$L$33,12,0)</f>
        <v>11.416570392201105</v>
      </c>
      <c r="N18" s="40">
        <f t="shared" si="1"/>
        <v>0</v>
      </c>
    </row>
    <row r="19" spans="1:14" x14ac:dyDescent="0.3">
      <c r="A19" s="21" t="s">
        <v>65</v>
      </c>
      <c r="B19" s="62"/>
      <c r="C19" s="62"/>
      <c r="D19" s="62"/>
      <c r="E19" s="62"/>
      <c r="F19" s="62"/>
      <c r="G19" s="62"/>
      <c r="H19" s="62"/>
      <c r="I19" s="62"/>
      <c r="J19" s="62"/>
      <c r="K19" s="62"/>
      <c r="L19" s="38">
        <f t="shared" si="0"/>
        <v>0</v>
      </c>
      <c r="M19" s="42">
        <f>VLOOKUP(A19,Details!$A$13:$L$33,12,0)</f>
        <v>23.234253117991344</v>
      </c>
      <c r="N19" s="40">
        <f t="shared" si="1"/>
        <v>0</v>
      </c>
    </row>
    <row r="20" spans="1:14" x14ac:dyDescent="0.3">
      <c r="A20" s="21" t="s">
        <v>66</v>
      </c>
      <c r="B20" s="62"/>
      <c r="C20" s="62"/>
      <c r="D20" s="62"/>
      <c r="E20" s="62"/>
      <c r="F20" s="62"/>
      <c r="G20" s="62"/>
      <c r="H20" s="62"/>
      <c r="I20" s="62"/>
      <c r="J20" s="62"/>
      <c r="K20" s="62"/>
      <c r="L20" s="38">
        <f t="shared" si="0"/>
        <v>0</v>
      </c>
      <c r="M20" s="42">
        <f>VLOOKUP(A20,Details!$A$13:$L$33,12,0)</f>
        <v>15.709577528818452</v>
      </c>
      <c r="N20" s="40">
        <f t="shared" si="1"/>
        <v>0</v>
      </c>
    </row>
    <row r="21" spans="1:14" x14ac:dyDescent="0.3">
      <c r="A21" s="21" t="s">
        <v>68</v>
      </c>
      <c r="B21" s="62"/>
      <c r="C21" s="62"/>
      <c r="D21" s="62"/>
      <c r="E21" s="62"/>
      <c r="F21" s="62"/>
      <c r="G21" s="62"/>
      <c r="H21" s="62"/>
      <c r="I21" s="62"/>
      <c r="J21" s="62"/>
      <c r="K21" s="62"/>
      <c r="L21" s="38">
        <f t="shared" si="0"/>
        <v>0</v>
      </c>
      <c r="M21" s="42">
        <f>VLOOKUP(A21,Details!$A$13:$L$33,12,0)</f>
        <v>5.2756244943109065</v>
      </c>
      <c r="N21" s="40">
        <f t="shared" si="1"/>
        <v>0</v>
      </c>
    </row>
    <row r="22" spans="1:14" x14ac:dyDescent="0.3">
      <c r="A22" s="22" t="s">
        <v>69</v>
      </c>
      <c r="B22" s="64"/>
      <c r="C22" s="64"/>
      <c r="D22" s="64"/>
      <c r="E22" s="64"/>
      <c r="F22" s="64"/>
      <c r="G22" s="64"/>
      <c r="H22" s="64"/>
      <c r="I22" s="64"/>
      <c r="J22" s="64"/>
      <c r="K22" s="64"/>
      <c r="L22" s="38">
        <f t="shared" si="0"/>
        <v>0</v>
      </c>
      <c r="M22" s="42">
        <f>VLOOKUP(A22,Details!$A$13:$L$33,12,0)</f>
        <v>23.380445471334983</v>
      </c>
      <c r="N22" s="40">
        <f t="shared" si="1"/>
        <v>0</v>
      </c>
    </row>
    <row r="23" spans="1:14" x14ac:dyDescent="0.3">
      <c r="A23" s="19" t="s">
        <v>71</v>
      </c>
      <c r="B23" s="24">
        <f>IFERROR(SUM(B11:B22),"Error")</f>
        <v>0</v>
      </c>
      <c r="C23" s="24">
        <f t="shared" ref="C23:K23" si="2">IFERROR(SUM(C11:C22),"Error")</f>
        <v>0</v>
      </c>
      <c r="D23" s="24">
        <f t="shared" si="2"/>
        <v>0</v>
      </c>
      <c r="E23" s="24">
        <f t="shared" si="2"/>
        <v>0</v>
      </c>
      <c r="F23" s="24">
        <f t="shared" si="2"/>
        <v>0</v>
      </c>
      <c r="G23" s="24">
        <f t="shared" si="2"/>
        <v>0</v>
      </c>
      <c r="H23" s="24">
        <f t="shared" si="2"/>
        <v>0</v>
      </c>
      <c r="I23" s="24">
        <f t="shared" si="2"/>
        <v>0</v>
      </c>
      <c r="J23" s="24">
        <f t="shared" si="2"/>
        <v>0</v>
      </c>
      <c r="K23" s="24">
        <f t="shared" si="2"/>
        <v>0</v>
      </c>
      <c r="L23" s="39">
        <f>IFERROR(SUM(L11:L22),"Error")</f>
        <v>0</v>
      </c>
      <c r="M23" s="20"/>
      <c r="N23" s="41">
        <f>IFERROR(SUM(N11:N22),"Error")</f>
        <v>0</v>
      </c>
    </row>
    <row r="24" spans="1:14" x14ac:dyDescent="0.3">
      <c r="A24" s="5"/>
      <c r="L24" s="54"/>
      <c r="M24" s="57" t="s">
        <v>70</v>
      </c>
      <c r="N24" s="56">
        <f>+'Major Crops'!N20</f>
        <v>0</v>
      </c>
    </row>
    <row r="25" spans="1:14" ht="15" thickBot="1" x14ac:dyDescent="0.35">
      <c r="A25" s="5"/>
      <c r="L25" s="54"/>
      <c r="M25" s="59" t="s">
        <v>73</v>
      </c>
      <c r="N25" s="65">
        <f>+N24+N23</f>
        <v>0</v>
      </c>
    </row>
    <row r="26" spans="1:14" ht="15" thickTop="1" x14ac:dyDescent="0.3">
      <c r="A26" s="5" t="s">
        <v>17</v>
      </c>
      <c r="N26" s="33" t="str">
        <f>"Your total payments exceed "&amp;IF(N25&gt;N27,"the high global cap. Revise the global payment limitations* below.",IF(N25&gt;N28,"the low global cap. Revise the global payment limitations* below.", "none of the global payment* limitations."))</f>
        <v>Your total payments exceed none of the global payment* limitations.</v>
      </c>
    </row>
    <row r="27" spans="1:14" x14ac:dyDescent="0.3">
      <c r="A27" s="25" t="s">
        <v>43</v>
      </c>
      <c r="M27" s="32" t="s">
        <v>45</v>
      </c>
      <c r="N27" s="8">
        <v>250000</v>
      </c>
    </row>
    <row r="28" spans="1:14" x14ac:dyDescent="0.3">
      <c r="M28" s="32" t="s">
        <v>46</v>
      </c>
      <c r="N28" s="8">
        <v>125000</v>
      </c>
    </row>
    <row r="29" spans="1:14" x14ac:dyDescent="0.3">
      <c r="A29" s="1" t="s">
        <v>49</v>
      </c>
    </row>
    <row r="30" spans="1:14" ht="30.75" customHeight="1" x14ac:dyDescent="0.3">
      <c r="A30" s="82" t="s">
        <v>47</v>
      </c>
      <c r="B30" s="82"/>
      <c r="C30" s="82"/>
      <c r="D30" s="82"/>
      <c r="E30" s="82"/>
      <c r="F30" s="82"/>
      <c r="G30" s="82"/>
      <c r="H30" s="82"/>
      <c r="I30" s="82"/>
      <c r="J30" s="82"/>
      <c r="K30" s="82"/>
      <c r="L30" s="82"/>
      <c r="M30" s="82"/>
      <c r="N30" s="82"/>
    </row>
    <row r="31" spans="1:14" x14ac:dyDescent="0.3">
      <c r="A31" s="1" t="s">
        <v>48</v>
      </c>
    </row>
    <row r="33" spans="1:14" x14ac:dyDescent="0.3">
      <c r="A33" s="34" t="s">
        <v>44</v>
      </c>
      <c r="B33" s="35"/>
      <c r="C33" s="35"/>
      <c r="D33" s="35"/>
      <c r="E33" s="35"/>
      <c r="F33" s="35"/>
      <c r="G33" s="35"/>
      <c r="H33" s="35"/>
      <c r="I33" s="35"/>
      <c r="J33" s="35"/>
      <c r="K33" s="35"/>
      <c r="L33" s="35"/>
      <c r="M33" s="35"/>
      <c r="N33" s="35"/>
    </row>
    <row r="34" spans="1:14" ht="31.5" customHeight="1" x14ac:dyDescent="0.3">
      <c r="A34" s="81" t="s">
        <v>54</v>
      </c>
      <c r="B34" s="81"/>
      <c r="C34" s="81"/>
      <c r="D34" s="81"/>
      <c r="E34" s="81"/>
      <c r="F34" s="81"/>
      <c r="G34" s="81"/>
      <c r="H34" s="81"/>
      <c r="I34" s="81"/>
      <c r="J34" s="81"/>
      <c r="K34" s="81"/>
      <c r="L34" s="81"/>
      <c r="M34" s="81"/>
      <c r="N34" s="81"/>
    </row>
    <row r="35" spans="1:14" x14ac:dyDescent="0.3">
      <c r="A35" s="1" t="s">
        <v>51</v>
      </c>
      <c r="M35" s="1" t="s">
        <v>50</v>
      </c>
      <c r="N35" s="36">
        <f ca="1">+TODAY()</f>
        <v>45650</v>
      </c>
    </row>
  </sheetData>
  <sheetProtection algorithmName="SHA-512" hashValue="Wdyw3X/vDaStA254ewnD5rffAruveTW9j8K3dobKcfSctNvU+JfSjsgIcL8KbSRJUFfYGq/+DTqNAZ5aZZ0tsA==" saltValue="kKD4CpWzjKCB4mLVDGc1cA==" spinCount="100000" sheet="1" objects="1" scenarios="1"/>
  <sortState xmlns:xlrd2="http://schemas.microsoft.com/office/spreadsheetml/2017/richdata2" ref="A11:A22">
    <sortCondition ref="A11:A22"/>
  </sortState>
  <mergeCells count="6">
    <mergeCell ref="A34:N34"/>
    <mergeCell ref="A9:A10"/>
    <mergeCell ref="L9:L10"/>
    <mergeCell ref="M9:M10"/>
    <mergeCell ref="N9:N10"/>
    <mergeCell ref="A30:N30"/>
  </mergeCells>
  <hyperlinks>
    <hyperlink ref="A27" location="Details!A1" display="^ See Details tab." xr:uid="{DE88675F-ED46-430F-9120-B6BC1F19F7E8}"/>
    <hyperlink ref="M24" location="'Major Crops'!A1" display="Subtotal Other Crops" xr:uid="{3EEA65D3-010C-4461-9018-4024CC83FD11}"/>
  </hyperlinks>
  <pageMargins left="0.25" right="0.25" top="0.75" bottom="0.75" header="0.3" footer="0.3"/>
  <pageSetup scale="86"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80335-3BBC-4691-9071-7C8036567F2B}">
  <sheetPr>
    <pageSetUpPr fitToPage="1"/>
  </sheetPr>
  <dimension ref="A2:L60"/>
  <sheetViews>
    <sheetView workbookViewId="0"/>
  </sheetViews>
  <sheetFormatPr defaultColWidth="9.21875" defaultRowHeight="14.4" x14ac:dyDescent="0.3"/>
  <cols>
    <col min="1" max="1" width="18.21875" style="1" customWidth="1"/>
    <col min="2" max="2" width="13.77734375" style="1" customWidth="1"/>
    <col min="3" max="4" width="14.5546875" style="1" customWidth="1"/>
    <col min="5" max="7" width="12.77734375" style="1" customWidth="1"/>
    <col min="8" max="10" width="13" style="1" customWidth="1"/>
    <col min="11" max="11" width="16.77734375" style="1" customWidth="1"/>
    <col min="12" max="12" width="13.21875" style="1" customWidth="1"/>
    <col min="13" max="16384" width="9.21875" style="1"/>
  </cols>
  <sheetData>
    <row r="2" spans="1:12" x14ac:dyDescent="0.3">
      <c r="F2" s="23" t="str">
        <f>+'Major Crops'!G2</f>
        <v>AMERICAN RELEIEF ACT - ECONOMIC ASSISTANCE CALCULATOR</v>
      </c>
    </row>
    <row r="3" spans="1:12" x14ac:dyDescent="0.3">
      <c r="F3" s="6" t="str">
        <f>+'Major Crops'!G3</f>
        <v>RaFF Decision Tool 2024-12(1)</v>
      </c>
    </row>
    <row r="4" spans="1:12" x14ac:dyDescent="0.3">
      <c r="F4" s="6" t="str">
        <f>+'Major Crops'!G4</f>
        <v>Version: 12/20/2024</v>
      </c>
    </row>
    <row r="5" spans="1:12" x14ac:dyDescent="0.3">
      <c r="F5" s="6"/>
    </row>
    <row r="6" spans="1:12" x14ac:dyDescent="0.3">
      <c r="F6" s="6"/>
    </row>
    <row r="7" spans="1:12" x14ac:dyDescent="0.3">
      <c r="A7" s="37" t="s">
        <v>52</v>
      </c>
    </row>
    <row r="8" spans="1:12" x14ac:dyDescent="0.3">
      <c r="A8" s="1" t="s">
        <v>19</v>
      </c>
      <c r="C8" s="2">
        <v>0.26</v>
      </c>
    </row>
    <row r="9" spans="1:12" x14ac:dyDescent="0.3">
      <c r="A9" s="1" t="s">
        <v>34</v>
      </c>
      <c r="C9" s="2">
        <v>0.08</v>
      </c>
    </row>
    <row r="11" spans="1:12" s="3" customFormat="1" ht="57.6" x14ac:dyDescent="0.3">
      <c r="A11" s="86" t="s">
        <v>84</v>
      </c>
      <c r="B11" s="84" t="s">
        <v>32</v>
      </c>
      <c r="C11" s="12" t="s">
        <v>21</v>
      </c>
      <c r="D11" s="52" t="s">
        <v>36</v>
      </c>
      <c r="E11" s="12" t="s">
        <v>22</v>
      </c>
      <c r="F11" s="12" t="s">
        <v>23</v>
      </c>
      <c r="G11" s="12" t="s">
        <v>24</v>
      </c>
      <c r="H11" s="12" t="str">
        <f>+"Economic Assistance Rate 
(f) = (e) × "&amp;ROUND(100*C8,0)&amp;"%"</f>
        <v>Economic Assistance Rate 
(f) = (e) × 26%</v>
      </c>
      <c r="I11" s="12" t="s">
        <v>33</v>
      </c>
      <c r="J11" s="12" t="s">
        <v>55</v>
      </c>
      <c r="K11" s="12" t="str">
        <f>+"Minimum Payment Rate
(i) = (g) × (h) × "&amp;ROUND(100*C9,0)&amp;"%"</f>
        <v>Minimum Payment Rate
(i) = (g) × (h) × 8%</v>
      </c>
      <c r="L11" s="12" t="s">
        <v>86</v>
      </c>
    </row>
    <row r="12" spans="1:12" s="4" customFormat="1" x14ac:dyDescent="0.3">
      <c r="A12" s="87"/>
      <c r="B12" s="85"/>
      <c r="C12" s="13" t="s">
        <v>20</v>
      </c>
      <c r="D12" s="13" t="s">
        <v>56</v>
      </c>
      <c r="E12" s="13" t="s">
        <v>18</v>
      </c>
      <c r="F12" s="13" t="s">
        <v>18</v>
      </c>
      <c r="G12" s="13" t="s">
        <v>18</v>
      </c>
      <c r="H12" s="13" t="s">
        <v>18</v>
      </c>
      <c r="I12" s="13" t="s">
        <v>20</v>
      </c>
      <c r="J12" s="13" t="s">
        <v>56</v>
      </c>
      <c r="K12" s="13" t="s">
        <v>18</v>
      </c>
      <c r="L12" s="13" t="s">
        <v>18</v>
      </c>
    </row>
    <row r="13" spans="1:12" x14ac:dyDescent="0.3">
      <c r="A13" s="5" t="s">
        <v>11</v>
      </c>
      <c r="B13" s="6" t="s">
        <v>29</v>
      </c>
      <c r="C13" s="7">
        <v>6.6</v>
      </c>
      <c r="D13" s="1">
        <v>73.349999999999994</v>
      </c>
      <c r="E13" s="8">
        <f>+D13*C13</f>
        <v>484.10999999999996</v>
      </c>
      <c r="F13" s="8">
        <v>472.01</v>
      </c>
      <c r="G13" s="8">
        <f>+MAX(0,F13-E13)</f>
        <v>0</v>
      </c>
      <c r="H13" s="8">
        <f>+G13*$C$8</f>
        <v>0</v>
      </c>
      <c r="I13" s="9">
        <v>4.95</v>
      </c>
      <c r="J13" s="48">
        <v>54.96</v>
      </c>
      <c r="K13" s="7">
        <f>+J13*$C$9*I13</f>
        <v>21.76416</v>
      </c>
      <c r="L13" s="8">
        <f>+MAX(K13,H13)</f>
        <v>21.76416</v>
      </c>
    </row>
    <row r="14" spans="1:12" x14ac:dyDescent="0.3">
      <c r="A14" s="5" t="s">
        <v>59</v>
      </c>
      <c r="B14" s="6" t="s">
        <v>30</v>
      </c>
      <c r="C14" s="66">
        <v>0.20300000000000001</v>
      </c>
      <c r="D14" s="68">
        <v>1728.5804536192111</v>
      </c>
      <c r="E14" s="8">
        <f t="shared" ref="E14:E33" si="0">+D14*C14</f>
        <v>350.90183208469989</v>
      </c>
      <c r="F14" s="67" t="s">
        <v>80</v>
      </c>
      <c r="G14" s="67" t="s">
        <v>80</v>
      </c>
      <c r="H14" s="67" t="s">
        <v>80</v>
      </c>
      <c r="I14" s="9">
        <v>0.20150000000000001</v>
      </c>
      <c r="J14" s="68">
        <v>1659.8673677211195</v>
      </c>
      <c r="K14" s="7">
        <f t="shared" ref="K14:K33" si="1">+J14*$C$9*I14</f>
        <v>26.757061967664448</v>
      </c>
      <c r="L14" s="8">
        <f t="shared" ref="L14:L33" si="2">+MAX(K14,H14)</f>
        <v>26.757061967664448</v>
      </c>
    </row>
    <row r="15" spans="1:12" x14ac:dyDescent="0.3">
      <c r="A15" s="5" t="s">
        <v>74</v>
      </c>
      <c r="B15" s="6" t="s">
        <v>30</v>
      </c>
      <c r="C15" s="66">
        <v>0.33</v>
      </c>
      <c r="D15" s="68">
        <v>1304.3</v>
      </c>
      <c r="E15" s="8">
        <f t="shared" si="0"/>
        <v>430.41899999999998</v>
      </c>
      <c r="F15" s="67" t="s">
        <v>80</v>
      </c>
      <c r="G15" s="67" t="s">
        <v>80</v>
      </c>
      <c r="H15" s="67" t="s">
        <v>80</v>
      </c>
      <c r="I15" s="9">
        <v>0.21540000000000001</v>
      </c>
      <c r="J15" s="68">
        <v>1401.8126415224938</v>
      </c>
      <c r="K15" s="7">
        <f t="shared" si="1"/>
        <v>24.156035438715612</v>
      </c>
      <c r="L15" s="8">
        <f t="shared" si="2"/>
        <v>24.156035438715612</v>
      </c>
    </row>
    <row r="16" spans="1:12" x14ac:dyDescent="0.3">
      <c r="A16" s="5" t="s">
        <v>75</v>
      </c>
      <c r="B16" s="6" t="s">
        <v>30</v>
      </c>
      <c r="C16" s="66">
        <v>0.26</v>
      </c>
      <c r="D16" s="68">
        <v>1375.7</v>
      </c>
      <c r="E16" s="8">
        <f t="shared" si="0"/>
        <v>357.68200000000002</v>
      </c>
      <c r="F16" s="67" t="s">
        <v>80</v>
      </c>
      <c r="G16" s="67" t="s">
        <v>80</v>
      </c>
      <c r="H16" s="67" t="s">
        <v>80</v>
      </c>
      <c r="I16" s="9">
        <v>0.19040000000000001</v>
      </c>
      <c r="J16" s="68">
        <v>1428.9630047362236</v>
      </c>
      <c r="K16" s="7">
        <f t="shared" si="1"/>
        <v>21.765964488142163</v>
      </c>
      <c r="L16" s="8">
        <f t="shared" si="2"/>
        <v>21.765964488142163</v>
      </c>
    </row>
    <row r="17" spans="1:12" x14ac:dyDescent="0.3">
      <c r="A17" s="5" t="s">
        <v>0</v>
      </c>
      <c r="B17" s="6" t="s">
        <v>29</v>
      </c>
      <c r="C17" s="7">
        <v>4.0999999999999996</v>
      </c>
      <c r="D17" s="1">
        <v>174.54000000000002</v>
      </c>
      <c r="E17" s="8">
        <f t="shared" si="0"/>
        <v>715.61400000000003</v>
      </c>
      <c r="F17" s="8">
        <v>879.1</v>
      </c>
      <c r="G17" s="8">
        <f t="shared" ref="G17:G33" si="3">+MAX(0,F17-E17)</f>
        <v>163.48599999999999</v>
      </c>
      <c r="H17" s="8">
        <f t="shared" ref="H17:H33" si="4">+G17*$C$8</f>
        <v>42.506360000000001</v>
      </c>
      <c r="I17" s="9">
        <v>3.7</v>
      </c>
      <c r="J17" s="48">
        <v>143.07</v>
      </c>
      <c r="K17" s="7">
        <f t="shared" si="1"/>
        <v>42.34872</v>
      </c>
      <c r="L17" s="8">
        <f t="shared" si="2"/>
        <v>42.506360000000001</v>
      </c>
    </row>
    <row r="18" spans="1:12" ht="16.2" x14ac:dyDescent="0.3">
      <c r="A18" s="5" t="s">
        <v>14</v>
      </c>
      <c r="B18" s="6" t="s">
        <v>30</v>
      </c>
      <c r="C18" s="7">
        <v>0.66</v>
      </c>
      <c r="D18" s="1">
        <v>846.9</v>
      </c>
      <c r="E18" s="73">
        <f>+D18*C18</f>
        <v>558.95400000000006</v>
      </c>
      <c r="F18" s="8">
        <v>894.56</v>
      </c>
      <c r="G18" s="8">
        <f t="shared" si="3"/>
        <v>335.60599999999988</v>
      </c>
      <c r="H18" s="8">
        <f t="shared" si="4"/>
        <v>87.25755999999997</v>
      </c>
      <c r="I18" s="9">
        <v>0.36699999999999999</v>
      </c>
      <c r="J18" s="48">
        <v>1827.89</v>
      </c>
      <c r="K18" s="7">
        <f t="shared" si="1"/>
        <v>53.666850400000001</v>
      </c>
      <c r="L18" s="8">
        <f t="shared" si="2"/>
        <v>87.25755999999997</v>
      </c>
    </row>
    <row r="19" spans="1:12" x14ac:dyDescent="0.3">
      <c r="A19" s="5" t="s">
        <v>67</v>
      </c>
      <c r="B19" s="6" t="s">
        <v>30</v>
      </c>
      <c r="C19" s="7">
        <v>0.192</v>
      </c>
      <c r="D19" s="72">
        <v>1400</v>
      </c>
      <c r="E19" s="8">
        <f t="shared" si="0"/>
        <v>268.8</v>
      </c>
      <c r="F19" s="67" t="s">
        <v>80</v>
      </c>
      <c r="G19" s="67" t="s">
        <v>80</v>
      </c>
      <c r="H19" s="67" t="s">
        <v>80</v>
      </c>
      <c r="I19" s="9">
        <v>0.20150000000000001</v>
      </c>
      <c r="J19" s="68">
        <v>1201.5220603105622</v>
      </c>
      <c r="K19" s="7">
        <f t="shared" si="1"/>
        <v>19.368535612206262</v>
      </c>
      <c r="L19" s="8">
        <f t="shared" si="2"/>
        <v>19.368535612206262</v>
      </c>
    </row>
    <row r="20" spans="1:12" x14ac:dyDescent="0.3">
      <c r="A20" s="5" t="s">
        <v>61</v>
      </c>
      <c r="B20" s="6" t="s">
        <v>30</v>
      </c>
      <c r="C20" s="7">
        <v>0.13850000000000001</v>
      </c>
      <c r="D20" s="68">
        <v>1819.7</v>
      </c>
      <c r="E20" s="8">
        <f t="shared" si="0"/>
        <v>252.02845000000002</v>
      </c>
      <c r="F20" s="67" t="s">
        <v>80</v>
      </c>
      <c r="G20" s="67" t="s">
        <v>80</v>
      </c>
      <c r="H20" s="67" t="s">
        <v>80</v>
      </c>
      <c r="I20" s="9">
        <v>0.11</v>
      </c>
      <c r="J20" s="68">
        <v>1836.6476227922753</v>
      </c>
      <c r="K20" s="7">
        <f t="shared" si="1"/>
        <v>16.162499080572022</v>
      </c>
      <c r="L20" s="8">
        <f t="shared" si="2"/>
        <v>16.162499080572022</v>
      </c>
    </row>
    <row r="21" spans="1:12" x14ac:dyDescent="0.3">
      <c r="A21" s="5" t="s">
        <v>63</v>
      </c>
      <c r="B21" s="6" t="s">
        <v>29</v>
      </c>
      <c r="C21" s="7">
        <v>13</v>
      </c>
      <c r="D21" s="69">
        <v>18.88</v>
      </c>
      <c r="E21" s="8">
        <f t="shared" si="0"/>
        <v>245.44</v>
      </c>
      <c r="F21" s="67" t="s">
        <v>80</v>
      </c>
      <c r="G21" s="67" t="s">
        <v>80</v>
      </c>
      <c r="H21" s="67" t="s">
        <v>80</v>
      </c>
      <c r="I21" s="8">
        <v>11.284000000000001</v>
      </c>
      <c r="J21" s="69">
        <v>19.367747366124235</v>
      </c>
      <c r="K21" s="7">
        <f t="shared" si="1"/>
        <v>17.483652902347671</v>
      </c>
      <c r="L21" s="8">
        <f t="shared" si="2"/>
        <v>17.483652902347671</v>
      </c>
    </row>
    <row r="22" spans="1:12" x14ac:dyDescent="0.3">
      <c r="A22" s="5" t="s">
        <v>62</v>
      </c>
      <c r="B22" s="6" t="s">
        <v>30</v>
      </c>
      <c r="C22" s="7">
        <v>0.34</v>
      </c>
      <c r="D22" s="68">
        <v>1079.9000000000001</v>
      </c>
      <c r="E22" s="8">
        <f t="shared" si="0"/>
        <v>367.16600000000005</v>
      </c>
      <c r="F22" s="67" t="s">
        <v>80</v>
      </c>
      <c r="G22" s="67" t="s">
        <v>80</v>
      </c>
      <c r="H22" s="67" t="s">
        <v>80</v>
      </c>
      <c r="I22" s="9">
        <v>0.19969999999999999</v>
      </c>
      <c r="J22" s="68">
        <v>1209.5314323366481</v>
      </c>
      <c r="K22" s="7">
        <f t="shared" si="1"/>
        <v>19.323474163010289</v>
      </c>
      <c r="L22" s="8">
        <f t="shared" si="2"/>
        <v>19.323474163010289</v>
      </c>
    </row>
    <row r="23" spans="1:12" x14ac:dyDescent="0.3">
      <c r="A23" s="5" t="s">
        <v>64</v>
      </c>
      <c r="B23" s="6" t="s">
        <v>30</v>
      </c>
      <c r="C23" s="7">
        <v>0.48</v>
      </c>
      <c r="D23" s="68">
        <v>719.7</v>
      </c>
      <c r="E23" s="8">
        <f t="shared" si="0"/>
        <v>345.45600000000002</v>
      </c>
      <c r="F23" s="67" t="s">
        <v>80</v>
      </c>
      <c r="G23" s="67" t="s">
        <v>80</v>
      </c>
      <c r="H23" s="67" t="s">
        <v>80</v>
      </c>
      <c r="I23" s="9">
        <v>0.20150000000000001</v>
      </c>
      <c r="J23" s="68">
        <v>708.22396973952266</v>
      </c>
      <c r="K23" s="7">
        <f t="shared" si="1"/>
        <v>11.416570392201105</v>
      </c>
      <c r="L23" s="8">
        <f t="shared" si="2"/>
        <v>11.416570392201105</v>
      </c>
    </row>
    <row r="24" spans="1:12" x14ac:dyDescent="0.3">
      <c r="A24" s="5" t="s">
        <v>12</v>
      </c>
      <c r="B24" s="6" t="s">
        <v>29</v>
      </c>
      <c r="C24" s="7">
        <v>3.4</v>
      </c>
      <c r="D24" s="1">
        <v>66.410000000000011</v>
      </c>
      <c r="E24" s="8">
        <f t="shared" si="0"/>
        <v>225.79400000000004</v>
      </c>
      <c r="F24" s="8">
        <v>524.48</v>
      </c>
      <c r="G24" s="8">
        <f t="shared" si="3"/>
        <v>298.68599999999998</v>
      </c>
      <c r="H24" s="8">
        <f t="shared" si="4"/>
        <v>77.658360000000002</v>
      </c>
      <c r="I24" s="9">
        <v>2.4</v>
      </c>
      <c r="J24" s="48">
        <v>52.11</v>
      </c>
      <c r="K24" s="7">
        <f t="shared" si="1"/>
        <v>10.00512</v>
      </c>
      <c r="L24" s="8">
        <f t="shared" si="2"/>
        <v>77.658360000000002</v>
      </c>
    </row>
    <row r="25" spans="1:12" x14ac:dyDescent="0.3">
      <c r="A25" s="5" t="s">
        <v>53</v>
      </c>
      <c r="B25" s="6" t="s">
        <v>58</v>
      </c>
      <c r="C25" s="51">
        <v>0.26500000000000001</v>
      </c>
      <c r="D25" s="1">
        <v>3891.1</v>
      </c>
      <c r="E25" s="8">
        <f t="shared" si="0"/>
        <v>1031.1415</v>
      </c>
      <c r="F25" s="8">
        <v>1184.95</v>
      </c>
      <c r="G25" s="8">
        <f t="shared" si="3"/>
        <v>153.80850000000009</v>
      </c>
      <c r="H25" s="8">
        <f t="shared" si="4"/>
        <v>39.990210000000026</v>
      </c>
      <c r="I25" s="50">
        <v>0.26750000000000002</v>
      </c>
      <c r="J25" s="48">
        <v>3565.54</v>
      </c>
      <c r="K25" s="7">
        <f t="shared" si="1"/>
        <v>76.30255600000001</v>
      </c>
      <c r="L25" s="8">
        <f t="shared" si="2"/>
        <v>76.30255600000001</v>
      </c>
    </row>
    <row r="26" spans="1:12" x14ac:dyDescent="0.3">
      <c r="A26" s="5" t="s">
        <v>65</v>
      </c>
      <c r="B26" s="6" t="s">
        <v>30</v>
      </c>
      <c r="C26" s="51">
        <v>0.16</v>
      </c>
      <c r="D26" s="68">
        <v>1768</v>
      </c>
      <c r="E26" s="8">
        <f t="shared" si="0"/>
        <v>282.88</v>
      </c>
      <c r="F26" s="67" t="s">
        <v>80</v>
      </c>
      <c r="G26" s="67" t="s">
        <v>80</v>
      </c>
      <c r="H26" s="67" t="s">
        <v>80</v>
      </c>
      <c r="I26" s="9">
        <v>0.20150000000000001</v>
      </c>
      <c r="J26" s="68">
        <v>1441.3308385850708</v>
      </c>
      <c r="K26" s="7">
        <f t="shared" si="1"/>
        <v>23.234253117991344</v>
      </c>
      <c r="L26" s="8">
        <f t="shared" si="2"/>
        <v>23.234253117991344</v>
      </c>
    </row>
    <row r="27" spans="1:12" ht="16.2" x14ac:dyDescent="0.3">
      <c r="A27" s="5" t="s">
        <v>15</v>
      </c>
      <c r="B27" s="6" t="s">
        <v>31</v>
      </c>
      <c r="C27" s="7">
        <v>15.6</v>
      </c>
      <c r="D27" s="10">
        <f>7533.6/100</f>
        <v>75.335999999999999</v>
      </c>
      <c r="E27" s="8">
        <f t="shared" si="0"/>
        <v>1175.2416000000001</v>
      </c>
      <c r="F27" s="8">
        <v>1314.84</v>
      </c>
      <c r="G27" s="8">
        <f t="shared" si="3"/>
        <v>139.59839999999986</v>
      </c>
      <c r="H27" s="8">
        <f t="shared" si="4"/>
        <v>36.295583999999963</v>
      </c>
      <c r="I27" s="9">
        <v>14</v>
      </c>
      <c r="J27" s="70">
        <v>62.069000000000003</v>
      </c>
      <c r="K27" s="7">
        <f t="shared" si="1"/>
        <v>69.517280000000014</v>
      </c>
      <c r="L27" s="8">
        <f t="shared" si="2"/>
        <v>69.517280000000014</v>
      </c>
    </row>
    <row r="28" spans="1:12" x14ac:dyDescent="0.3">
      <c r="A28" s="5" t="s">
        <v>66</v>
      </c>
      <c r="B28" s="6" t="s">
        <v>30</v>
      </c>
      <c r="C28" s="7">
        <v>0.3</v>
      </c>
      <c r="D28" s="68">
        <v>1241.8</v>
      </c>
      <c r="E28" s="8">
        <f t="shared" si="0"/>
        <v>372.53999999999996</v>
      </c>
      <c r="F28" s="67" t="s">
        <v>80</v>
      </c>
      <c r="G28" s="67" t="s">
        <v>80</v>
      </c>
      <c r="H28" s="67" t="s">
        <v>80</v>
      </c>
      <c r="I28" s="9">
        <v>0.20150000000000001</v>
      </c>
      <c r="J28" s="68">
        <v>974.53954893414698</v>
      </c>
      <c r="K28" s="7">
        <f t="shared" si="1"/>
        <v>15.709577528818452</v>
      </c>
      <c r="L28" s="8">
        <f t="shared" si="2"/>
        <v>15.709577528818452</v>
      </c>
    </row>
    <row r="29" spans="1:12" x14ac:dyDescent="0.3">
      <c r="A29" s="5" t="s">
        <v>68</v>
      </c>
      <c r="B29" s="6" t="s">
        <v>30</v>
      </c>
      <c r="C29" s="7">
        <v>0.39</v>
      </c>
      <c r="D29" s="68">
        <v>549.39833193443269</v>
      </c>
      <c r="E29" s="8">
        <f t="shared" si="0"/>
        <v>214.26534945442876</v>
      </c>
      <c r="F29" s="67" t="s">
        <v>80</v>
      </c>
      <c r="G29" s="67" t="s">
        <v>80</v>
      </c>
      <c r="H29" s="67" t="s">
        <v>80</v>
      </c>
      <c r="I29" s="9">
        <v>0.20150000000000001</v>
      </c>
      <c r="J29" s="68">
        <v>327.271990962215</v>
      </c>
      <c r="K29" s="7">
        <f t="shared" si="1"/>
        <v>5.2756244943109065</v>
      </c>
      <c r="L29" s="8">
        <f t="shared" si="2"/>
        <v>5.2756244943109065</v>
      </c>
    </row>
    <row r="30" spans="1:12" ht="16.2" x14ac:dyDescent="0.3">
      <c r="A30" s="5" t="s">
        <v>28</v>
      </c>
      <c r="B30" s="6" t="s">
        <v>29</v>
      </c>
      <c r="C30" s="7">
        <v>4.0999999999999996</v>
      </c>
      <c r="D30" s="1">
        <v>66.680000000000007</v>
      </c>
      <c r="E30" s="8">
        <f t="shared" si="0"/>
        <v>273.38799999999998</v>
      </c>
      <c r="F30" s="8">
        <v>437.14</v>
      </c>
      <c r="G30" s="8">
        <f t="shared" si="3"/>
        <v>163.75200000000001</v>
      </c>
      <c r="H30" s="8">
        <f t="shared" si="4"/>
        <v>42.575520000000004</v>
      </c>
      <c r="I30" s="9">
        <v>3.95</v>
      </c>
      <c r="J30" s="48">
        <v>63.834699999999998</v>
      </c>
      <c r="K30" s="7">
        <f t="shared" si="1"/>
        <v>20.171765199999999</v>
      </c>
      <c r="L30" s="8">
        <f t="shared" si="2"/>
        <v>42.575520000000004</v>
      </c>
    </row>
    <row r="31" spans="1:12" x14ac:dyDescent="0.3">
      <c r="A31" s="5" t="s">
        <v>9</v>
      </c>
      <c r="B31" s="6" t="s">
        <v>29</v>
      </c>
      <c r="C31" s="7">
        <v>10.199999999999999</v>
      </c>
      <c r="D31" s="1">
        <v>50.18</v>
      </c>
      <c r="E31" s="8">
        <f t="shared" si="0"/>
        <v>511.83599999999996</v>
      </c>
      <c r="F31" s="8">
        <v>625.29</v>
      </c>
      <c r="G31" s="8">
        <f t="shared" si="3"/>
        <v>113.45400000000001</v>
      </c>
      <c r="H31" s="8">
        <f t="shared" si="4"/>
        <v>29.498040000000003</v>
      </c>
      <c r="I31" s="9">
        <v>8.4</v>
      </c>
      <c r="J31" s="48">
        <v>40.869999999999997</v>
      </c>
      <c r="K31" s="7">
        <f t="shared" si="1"/>
        <v>27.464640000000003</v>
      </c>
      <c r="L31" s="8">
        <f t="shared" si="2"/>
        <v>29.498040000000003</v>
      </c>
    </row>
    <row r="32" spans="1:12" x14ac:dyDescent="0.3">
      <c r="A32" s="5" t="s">
        <v>69</v>
      </c>
      <c r="B32" s="6" t="s">
        <v>30</v>
      </c>
      <c r="C32" s="7">
        <v>0.19750000000000001</v>
      </c>
      <c r="D32" s="68">
        <v>1700.2944049618986</v>
      </c>
      <c r="E32" s="8">
        <f t="shared" si="0"/>
        <v>335.808144979975</v>
      </c>
      <c r="F32" s="67" t="s">
        <v>80</v>
      </c>
      <c r="G32" s="67" t="s">
        <v>80</v>
      </c>
      <c r="H32" s="67" t="s">
        <v>80</v>
      </c>
      <c r="I32" s="9">
        <v>0.20150000000000001</v>
      </c>
      <c r="J32" s="68">
        <v>1450.3998431349246</v>
      </c>
      <c r="K32" s="7">
        <f t="shared" si="1"/>
        <v>23.380445471334983</v>
      </c>
      <c r="L32" s="8">
        <f t="shared" si="2"/>
        <v>23.380445471334983</v>
      </c>
    </row>
    <row r="33" spans="1:12" x14ac:dyDescent="0.3">
      <c r="A33" s="26" t="s">
        <v>10</v>
      </c>
      <c r="B33" s="27" t="s">
        <v>29</v>
      </c>
      <c r="C33" s="28">
        <v>5.6</v>
      </c>
      <c r="D33" s="29">
        <v>48.239999999999995</v>
      </c>
      <c r="E33" s="30">
        <f t="shared" si="0"/>
        <v>270.14399999999995</v>
      </c>
      <c r="F33" s="30">
        <v>388.19</v>
      </c>
      <c r="G33" s="30">
        <f t="shared" si="3"/>
        <v>118.04600000000005</v>
      </c>
      <c r="H33" s="30">
        <f t="shared" si="4"/>
        <v>30.691960000000012</v>
      </c>
      <c r="I33" s="31">
        <v>5.5</v>
      </c>
      <c r="J33" s="49">
        <v>41.79</v>
      </c>
      <c r="K33" s="28">
        <f t="shared" si="1"/>
        <v>18.387599999999999</v>
      </c>
      <c r="L33" s="30">
        <f t="shared" si="2"/>
        <v>30.691960000000012</v>
      </c>
    </row>
    <row r="34" spans="1:12" x14ac:dyDescent="0.3">
      <c r="A34" s="5" t="s">
        <v>17</v>
      </c>
    </row>
    <row r="35" spans="1:12" ht="16.2" x14ac:dyDescent="0.3">
      <c r="A35" s="11" t="s">
        <v>96</v>
      </c>
    </row>
    <row r="36" spans="1:12" ht="16.2" x14ac:dyDescent="0.3">
      <c r="A36" s="1" t="s">
        <v>88</v>
      </c>
    </row>
    <row r="37" spans="1:12" ht="16.2" x14ac:dyDescent="0.3">
      <c r="A37" s="1" t="s">
        <v>85</v>
      </c>
    </row>
    <row r="40" spans="1:12" x14ac:dyDescent="0.3">
      <c r="A40" s="1" t="s">
        <v>25</v>
      </c>
    </row>
    <row r="41" spans="1:12" x14ac:dyDescent="0.3">
      <c r="A41" s="1" t="s">
        <v>87</v>
      </c>
    </row>
    <row r="42" spans="1:12" x14ac:dyDescent="0.3">
      <c r="A42" s="1" t="s">
        <v>37</v>
      </c>
    </row>
    <row r="43" spans="1:12" x14ac:dyDescent="0.3">
      <c r="A43" s="1" t="s">
        <v>26</v>
      </c>
    </row>
    <row r="44" spans="1:12" x14ac:dyDescent="0.3">
      <c r="A44" s="1" t="s">
        <v>35</v>
      </c>
    </row>
    <row r="45" spans="1:12" x14ac:dyDescent="0.3">
      <c r="A45" s="1" t="s">
        <v>57</v>
      </c>
    </row>
    <row r="47" spans="1:12" x14ac:dyDescent="0.3">
      <c r="A47" s="1" t="s">
        <v>76</v>
      </c>
    </row>
    <row r="48" spans="1:12" s="5" customFormat="1" x14ac:dyDescent="0.3">
      <c r="A48" s="83" t="s">
        <v>81</v>
      </c>
      <c r="B48" s="83"/>
      <c r="C48" s="83"/>
      <c r="D48" s="83"/>
      <c r="E48" s="83"/>
      <c r="F48" s="83"/>
      <c r="G48" s="83"/>
      <c r="H48" s="83"/>
      <c r="I48" s="83"/>
      <c r="J48" s="83"/>
      <c r="K48" s="83"/>
      <c r="L48" s="83"/>
    </row>
    <row r="49" spans="1:12" s="5" customFormat="1" ht="32.25" customHeight="1" x14ac:dyDescent="0.3">
      <c r="A49" s="83" t="s">
        <v>82</v>
      </c>
      <c r="B49" s="83"/>
      <c r="C49" s="83"/>
      <c r="D49" s="83"/>
      <c r="E49" s="83"/>
      <c r="F49" s="83"/>
      <c r="G49" s="83"/>
      <c r="H49" s="83"/>
      <c r="I49" s="83"/>
      <c r="J49" s="83"/>
      <c r="K49" s="83"/>
      <c r="L49" s="83"/>
    </row>
    <row r="50" spans="1:12" s="5" customFormat="1" ht="27.75" customHeight="1" x14ac:dyDescent="0.3">
      <c r="A50" s="83" t="s">
        <v>83</v>
      </c>
      <c r="B50" s="83"/>
      <c r="C50" s="83"/>
      <c r="D50" s="83"/>
      <c r="E50" s="83"/>
      <c r="F50" s="83"/>
      <c r="G50" s="83"/>
      <c r="H50" s="83"/>
      <c r="I50" s="83"/>
      <c r="J50" s="83"/>
      <c r="K50" s="83"/>
      <c r="L50" s="83"/>
    </row>
    <row r="51" spans="1:12" s="5" customFormat="1" ht="48" customHeight="1" x14ac:dyDescent="0.3">
      <c r="A51" s="83" t="s">
        <v>77</v>
      </c>
      <c r="B51" s="83"/>
      <c r="C51" s="83"/>
      <c r="D51" s="83"/>
      <c r="E51" s="83"/>
      <c r="F51" s="83"/>
      <c r="G51" s="83"/>
      <c r="H51" s="83"/>
      <c r="I51" s="83"/>
      <c r="J51" s="83"/>
      <c r="K51" s="83"/>
      <c r="L51" s="83"/>
    </row>
    <row r="52" spans="1:12" s="5" customFormat="1" ht="27.75" customHeight="1" x14ac:dyDescent="0.3">
      <c r="A52" s="83" t="s">
        <v>78</v>
      </c>
      <c r="B52" s="83"/>
      <c r="C52" s="83"/>
      <c r="D52" s="83"/>
      <c r="E52" s="83"/>
      <c r="F52" s="83"/>
      <c r="G52" s="83"/>
      <c r="H52" s="83"/>
      <c r="I52" s="83"/>
      <c r="J52" s="83"/>
      <c r="K52" s="83"/>
      <c r="L52" s="83"/>
    </row>
    <row r="53" spans="1:12" s="5" customFormat="1" x14ac:dyDescent="0.3">
      <c r="A53" s="83" t="s">
        <v>79</v>
      </c>
      <c r="B53" s="83"/>
      <c r="C53" s="83"/>
      <c r="D53" s="83"/>
      <c r="E53" s="83"/>
      <c r="F53" s="83"/>
      <c r="G53" s="83"/>
      <c r="H53" s="83"/>
      <c r="I53" s="83"/>
      <c r="J53" s="83"/>
      <c r="K53" s="83"/>
      <c r="L53" s="83"/>
    </row>
    <row r="54" spans="1:12" s="5" customFormat="1" ht="46.5" customHeight="1" x14ac:dyDescent="0.3">
      <c r="A54" s="83" t="s">
        <v>89</v>
      </c>
      <c r="B54" s="83"/>
      <c r="C54" s="83"/>
      <c r="D54" s="83"/>
      <c r="E54" s="83"/>
      <c r="F54" s="83"/>
      <c r="G54" s="83"/>
      <c r="H54" s="83"/>
      <c r="I54" s="83"/>
      <c r="J54" s="83"/>
      <c r="K54" s="83"/>
      <c r="L54" s="83"/>
    </row>
    <row r="56" spans="1:12" x14ac:dyDescent="0.3">
      <c r="A56" s="71" t="s">
        <v>92</v>
      </c>
    </row>
    <row r="57" spans="1:12" x14ac:dyDescent="0.3">
      <c r="A57" s="1" t="s">
        <v>95</v>
      </c>
    </row>
    <row r="58" spans="1:12" x14ac:dyDescent="0.3">
      <c r="A58" s="53" t="s">
        <v>93</v>
      </c>
    </row>
    <row r="59" spans="1:12" x14ac:dyDescent="0.3">
      <c r="A59" s="1" t="s">
        <v>94</v>
      </c>
    </row>
    <row r="60" spans="1:12" x14ac:dyDescent="0.3">
      <c r="K60" s="1" t="s">
        <v>50</v>
      </c>
      <c r="L60" s="36">
        <f ca="1">+TODAY()</f>
        <v>45650</v>
      </c>
    </row>
  </sheetData>
  <sheetProtection algorithmName="SHA-512" hashValue="UDVifjki9irk/8TphQcX57U3NnbdmH38dHL+aGIv722AGgJnwF5ulFVE1Rz9cos7zsL5X8PRaBN1/1WsM1Hcbw==" saltValue="GmwUyrixxCniBgOD9PcikQ==" spinCount="100000" sheet="1" objects="1" scenarios="1"/>
  <sortState xmlns:xlrd2="http://schemas.microsoft.com/office/spreadsheetml/2017/richdata2" ref="A17:H33">
    <sortCondition ref="A13:A33"/>
  </sortState>
  <mergeCells count="9">
    <mergeCell ref="A51:L51"/>
    <mergeCell ref="A52:L52"/>
    <mergeCell ref="A53:L53"/>
    <mergeCell ref="A54:L54"/>
    <mergeCell ref="B11:B12"/>
    <mergeCell ref="A11:A12"/>
    <mergeCell ref="A48:L48"/>
    <mergeCell ref="A49:L49"/>
    <mergeCell ref="A50:L50"/>
  </mergeCells>
  <pageMargins left="0.25" right="0.25" top="0.75" bottom="0.75" header="0.3" footer="0.3"/>
  <pageSetup scale="7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Major Crops</vt:lpstr>
      <vt:lpstr>Other Crops</vt:lpstr>
      <vt:lpstr>Details</vt:lpstr>
      <vt:lpstr>Details!Print_Area</vt:lpstr>
      <vt:lpstr>'Major Crops'!Print_Area</vt:lpstr>
      <vt:lpstr>'Other Crops'!Print_Area</vt:lpstr>
      <vt:lpstr>Details!Print_Titles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Plastina, Alejandro</dc:creator>
  <cp:lastModifiedBy>Rosenbohm, Marc</cp:lastModifiedBy>
  <cp:lastPrinted>2024-12-21T17:48:24Z</cp:lastPrinted>
  <dcterms:created xsi:type="dcterms:W3CDTF">2024-12-19T21:09:16Z</dcterms:created>
  <dcterms:modified xsi:type="dcterms:W3CDTF">2024-12-24T06:01:24Z</dcterms:modified>
</cp:coreProperties>
</file>