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sonLa\Desktop\FruitsandVeggies Project\New spreadsheets March 2021\"/>
    </mc:Choice>
  </mc:AlternateContent>
  <xr:revisionPtr revIDLastSave="0" documentId="13_ncr:1_{C233A9F7-B4F7-4C08-96E6-AE3E582337F7}" xr6:coauthVersionLast="46" xr6:coauthVersionMax="46" xr10:uidLastSave="{00000000-0000-0000-0000-000000000000}"/>
  <bookViews>
    <workbookView xWindow="1080" yWindow="1080" windowWidth="9864" windowHeight="11244" xr2:uid="{20C8E42E-315E-4679-B723-D2B1DBBA7F3D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J45" i="1" s="1"/>
  <c r="E45" i="1"/>
  <c r="F45" i="1" s="1"/>
  <c r="E44" i="1"/>
  <c r="I44" i="1" s="1"/>
  <c r="J44" i="1" s="1"/>
  <c r="J42" i="1"/>
  <c r="F42" i="1"/>
  <c r="J41" i="1"/>
  <c r="F41" i="1"/>
  <c r="I40" i="1"/>
  <c r="J40" i="1" s="1"/>
  <c r="F40" i="1"/>
  <c r="I39" i="1"/>
  <c r="J39" i="1" s="1"/>
  <c r="F39" i="1"/>
  <c r="D39" i="1"/>
  <c r="I38" i="1"/>
  <c r="H38" i="1"/>
  <c r="J38" i="1" s="1"/>
  <c r="D38" i="1"/>
  <c r="F38" i="1" s="1"/>
  <c r="J36" i="1"/>
  <c r="F36" i="1"/>
  <c r="I35" i="1"/>
  <c r="I34" i="1"/>
  <c r="D34" i="1"/>
  <c r="F34" i="1" s="1"/>
  <c r="D29" i="1"/>
  <c r="I28" i="1"/>
  <c r="J28" i="1" s="1"/>
  <c r="F28" i="1"/>
  <c r="I27" i="1"/>
  <c r="J27" i="1" s="1"/>
  <c r="F27" i="1"/>
  <c r="I26" i="1"/>
  <c r="J26" i="1" s="1"/>
  <c r="F26" i="1"/>
  <c r="I25" i="1"/>
  <c r="J25" i="1" s="1"/>
  <c r="F25" i="1"/>
  <c r="J24" i="1"/>
  <c r="I24" i="1"/>
  <c r="F24" i="1"/>
  <c r="I22" i="1"/>
  <c r="J22" i="1" s="1"/>
  <c r="F22" i="1"/>
  <c r="I21" i="1"/>
  <c r="J21" i="1" s="1"/>
  <c r="F21" i="1"/>
  <c r="I19" i="1"/>
  <c r="J19" i="1" s="1"/>
  <c r="F19" i="1"/>
  <c r="I18" i="1"/>
  <c r="J18" i="1" s="1"/>
  <c r="F18" i="1"/>
  <c r="I17" i="1"/>
  <c r="J17" i="1" s="1"/>
  <c r="F17" i="1"/>
  <c r="E16" i="1"/>
  <c r="I16" i="1" s="1"/>
  <c r="J16" i="1" s="1"/>
  <c r="I15" i="1"/>
  <c r="J15" i="1" s="1"/>
  <c r="F15" i="1"/>
  <c r="I13" i="1"/>
  <c r="J13" i="1" s="1"/>
  <c r="F13" i="1"/>
  <c r="I12" i="1"/>
  <c r="J12" i="1" s="1"/>
  <c r="F12" i="1"/>
  <c r="I11" i="1"/>
  <c r="J11" i="1" s="1"/>
  <c r="F11" i="1"/>
  <c r="I5" i="1"/>
  <c r="H5" i="1"/>
  <c r="H34" i="1" s="1"/>
  <c r="F5" i="1"/>
  <c r="F6" i="1" s="1"/>
  <c r="D35" i="1" l="1"/>
  <c r="F35" i="1" s="1"/>
  <c r="H35" i="1"/>
  <c r="J35" i="1" s="1"/>
  <c r="J34" i="1"/>
  <c r="J5" i="1"/>
  <c r="J6" i="1" s="1"/>
  <c r="F16" i="1"/>
  <c r="F43" i="1" s="1"/>
  <c r="F44" i="1"/>
  <c r="J43" i="1" l="1"/>
  <c r="J46" i="1" s="1"/>
  <c r="J48" i="1" s="1"/>
  <c r="F46" i="1"/>
  <c r="F48" i="1" s="1"/>
  <c r="E52" i="1" l="1"/>
  <c r="E57" i="1" s="1"/>
  <c r="E51" i="1"/>
  <c r="E56" i="1" s="1"/>
</calcChain>
</file>

<file path=xl/sharedStrings.xml><?xml version="1.0" encoding="utf-8"?>
<sst xmlns="http://schemas.openxmlformats.org/spreadsheetml/2006/main" count="96" uniqueCount="72">
  <si>
    <t>2020 Enterprise Budget</t>
  </si>
  <si>
    <t>Strawberries, High Tunnel Costs and Returns for Missouri</t>
  </si>
  <si>
    <t>Fall-Site Prep &amp; Sep Planting</t>
  </si>
  <si>
    <t>Spring - April to June Harvest</t>
  </si>
  <si>
    <t>Revenues, $/1000 Square Feet</t>
  </si>
  <si>
    <t>Yield Units</t>
  </si>
  <si>
    <t>Yield</t>
  </si>
  <si>
    <t>Sales Price 
Dollars Per Unit</t>
  </si>
  <si>
    <t>Gross Returns
Dollars Per Acre</t>
  </si>
  <si>
    <t xml:space="preserve">  Fresh Berry Sales*</t>
  </si>
  <si>
    <t>pounds</t>
  </si>
  <si>
    <t>Total Revenue</t>
  </si>
  <si>
    <t xml:space="preserve">*Adjusted for 16.6% yield loss </t>
  </si>
  <si>
    <t>Variable Costs, $/1000 Square Feet</t>
  </si>
  <si>
    <t>Input Units</t>
  </si>
  <si>
    <t>Input Quantity</t>
  </si>
  <si>
    <t>Input Price 
Dollars Per Unit</t>
  </si>
  <si>
    <t>Cost 
Dollars Per Acre</t>
  </si>
  <si>
    <t xml:space="preserve">  Plants</t>
  </si>
  <si>
    <t>plants</t>
  </si>
  <si>
    <t xml:space="preserve">  Soil test</t>
  </si>
  <si>
    <t>soil test</t>
  </si>
  <si>
    <t xml:space="preserve">  Plastic mulch</t>
  </si>
  <si>
    <t>feet</t>
  </si>
  <si>
    <t xml:space="preserve">  Fertilizer </t>
  </si>
  <si>
    <t xml:space="preserve">    Starter Fertilizer 9-45-15 (water soluble)</t>
  </si>
  <si>
    <t xml:space="preserve">    Nitrogen</t>
  </si>
  <si>
    <t xml:space="preserve">    Phosphate </t>
  </si>
  <si>
    <t xml:space="preserve">    Potash</t>
  </si>
  <si>
    <t xml:space="preserve">    Lime</t>
  </si>
  <si>
    <t>tons</t>
  </si>
  <si>
    <t xml:space="preserve">  Insecticides</t>
  </si>
  <si>
    <t xml:space="preserve">    Assail 30SG</t>
  </si>
  <si>
    <t>ounces</t>
  </si>
  <si>
    <t xml:space="preserve">    Provado 1.6F</t>
  </si>
  <si>
    <t xml:space="preserve">  Fungicides</t>
  </si>
  <si>
    <t xml:space="preserve">    Captan 80W</t>
  </si>
  <si>
    <t xml:space="preserve">    Pristine 38WDG</t>
  </si>
  <si>
    <t xml:space="preserve">  Drip tape</t>
  </si>
  <si>
    <t xml:space="preserve">  Irrigation/Fertigation</t>
  </si>
  <si>
    <t>months</t>
  </si>
  <si>
    <t xml:space="preserve">  Plant analysis kit</t>
  </si>
  <si>
    <t>1 kit</t>
  </si>
  <si>
    <t xml:space="preserve">  Row Covers</t>
  </si>
  <si>
    <t xml:space="preserve">  Anchor pins</t>
  </si>
  <si>
    <t xml:space="preserve">  Fuel &amp; Oil</t>
  </si>
  <si>
    <t xml:space="preserve">  Pollination</t>
  </si>
  <si>
    <t xml:space="preserve">  Packaging</t>
  </si>
  <si>
    <t xml:space="preserve">    Plastic clamshells</t>
  </si>
  <si>
    <t>Quart</t>
  </si>
  <si>
    <t xml:space="preserve">    Carriers</t>
  </si>
  <si>
    <t>Box/tray</t>
  </si>
  <si>
    <t xml:space="preserve">  Refrigeration</t>
  </si>
  <si>
    <t xml:space="preserve">  Labor</t>
  </si>
  <si>
    <t xml:space="preserve">    General labor</t>
  </si>
  <si>
    <t>hours</t>
  </si>
  <si>
    <t xml:space="preserve">    Harvest labor</t>
  </si>
  <si>
    <t xml:space="preserve">    Other labor</t>
  </si>
  <si>
    <t xml:space="preserve">  Transportation</t>
  </si>
  <si>
    <t xml:space="preserve">  Tillage</t>
  </si>
  <si>
    <t>trips</t>
  </si>
  <si>
    <t xml:space="preserve">  Interest on operating capital</t>
  </si>
  <si>
    <t xml:space="preserve">  High Tunnel Fixed Costs</t>
  </si>
  <si>
    <t xml:space="preserve">  Land Fixed Costs</t>
  </si>
  <si>
    <t xml:space="preserve">      Total Costs</t>
  </si>
  <si>
    <t>Returns over Total Costs, $/1000 Square Feet</t>
  </si>
  <si>
    <t>Net Present Value of Net Returns</t>
  </si>
  <si>
    <t xml:space="preserve">  1 Year Patch (1 year bearing)</t>
  </si>
  <si>
    <t xml:space="preserve">  2 Year Patch (2 years bearing)</t>
  </si>
  <si>
    <t>Discount Rate</t>
  </si>
  <si>
    <t>Average Return Per Year, $/Acre*</t>
  </si>
  <si>
    <t>* Assumes 50% of the acre is covered by high tunnels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</si>
</sst>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000000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i/>
      <sz val="11"/>
      <color theme="1"/>
      <name val="Palatino Linotype"/>
      <family val="1"/>
    </font>
    <font>
      <i/>
      <sz val="11"/>
      <color theme="1"/>
      <name val="Palatino Linotype"/>
      <family val="1"/>
    </font>
    <font>
      <sz val="11"/>
      <name val="Palatino Linotype"/>
      <family val="1"/>
    </font>
    <font>
      <sz val="9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/>
    <xf numFmtId="0" fontId="3" fillId="2" borderId="2" xfId="0" applyFont="1" applyFill="1" applyBorder="1" applyAlignment="1">
      <alignment horizontal="centerContinuous" wrapText="1"/>
    </xf>
    <xf numFmtId="0" fontId="3" fillId="2" borderId="2" xfId="0" applyFont="1" applyFill="1" applyBorder="1" applyAlignment="1">
      <alignment horizontal="centerContinuous"/>
    </xf>
    <xf numFmtId="0" fontId="3" fillId="2" borderId="1" xfId="0" applyFont="1" applyFill="1" applyBorder="1"/>
    <xf numFmtId="0" fontId="4" fillId="2" borderId="3" xfId="0" applyFont="1" applyFill="1" applyBorder="1"/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/>
    <xf numFmtId="164" fontId="3" fillId="0" borderId="4" xfId="0" applyNumberFormat="1" applyFont="1" applyBorder="1"/>
    <xf numFmtId="2" fontId="3" fillId="0" borderId="0" xfId="0" applyNumberFormat="1" applyFont="1"/>
    <xf numFmtId="165" fontId="3" fillId="0" borderId="0" xfId="0" applyNumberFormat="1" applyFont="1"/>
    <xf numFmtId="0" fontId="5" fillId="0" borderId="3" xfId="0" applyFont="1" applyBorder="1"/>
    <xf numFmtId="0" fontId="3" fillId="0" borderId="3" xfId="0" applyFont="1" applyBorder="1"/>
    <xf numFmtId="164" fontId="3" fillId="0" borderId="3" xfId="0" applyNumberFormat="1" applyFont="1" applyBorder="1"/>
    <xf numFmtId="0" fontId="3" fillId="2" borderId="1" xfId="0" applyFont="1" applyFill="1" applyBorder="1" applyAlignment="1">
      <alignment horizontal="centerContinuous"/>
    </xf>
    <xf numFmtId="0" fontId="4" fillId="3" borderId="3" xfId="0" applyFont="1" applyFill="1" applyBorder="1"/>
    <xf numFmtId="0" fontId="3" fillId="3" borderId="3" xfId="0" applyFont="1" applyFill="1" applyBorder="1" applyAlignment="1">
      <alignment horizontal="center" wrapText="1"/>
    </xf>
    <xf numFmtId="164" fontId="3" fillId="0" borderId="0" xfId="0" applyNumberFormat="1" applyFont="1"/>
    <xf numFmtId="0" fontId="7" fillId="0" borderId="0" xfId="0" applyFont="1"/>
    <xf numFmtId="166" fontId="3" fillId="0" borderId="0" xfId="0" applyNumberFormat="1" applyFont="1"/>
    <xf numFmtId="1" fontId="3" fillId="0" borderId="0" xfId="0" applyNumberFormat="1" applyFont="1"/>
    <xf numFmtId="3" fontId="3" fillId="0" borderId="0" xfId="0" applyNumberFormat="1" applyFont="1"/>
    <xf numFmtId="0" fontId="4" fillId="0" borderId="5" xfId="0" applyFont="1" applyBorder="1"/>
    <xf numFmtId="0" fontId="3" fillId="0" borderId="5" xfId="0" applyFont="1" applyBorder="1"/>
    <xf numFmtId="164" fontId="3" fillId="0" borderId="5" xfId="0" applyNumberFormat="1" applyFont="1" applyBorder="1"/>
    <xf numFmtId="9" fontId="3" fillId="0" borderId="0" xfId="1" applyFont="1"/>
    <xf numFmtId="2" fontId="3" fillId="0" borderId="0" xfId="0" applyNumberFormat="1" applyFont="1" applyFill="1"/>
    <xf numFmtId="0" fontId="3" fillId="0" borderId="0" xfId="0" applyFont="1" applyFill="1"/>
    <xf numFmtId="0" fontId="3" fillId="0" borderId="3" xfId="0" applyFont="1" applyFill="1" applyBorder="1"/>
    <xf numFmtId="0" fontId="3" fillId="4" borderId="0" xfId="0" applyFont="1" applyFill="1"/>
    <xf numFmtId="164" fontId="3" fillId="4" borderId="0" xfId="0" applyNumberFormat="1" applyFont="1" applyFill="1"/>
    <xf numFmtId="0" fontId="6" fillId="4" borderId="0" xfId="0" applyFont="1" applyFill="1"/>
    <xf numFmtId="0" fontId="8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To%20FAPRI\Fruits%20&amp;%20Vegetables\Specialty%20Crop%20Budgets\Missouri\Missouri%20Fruit%20Enterprise%20Budget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Prices"/>
      <sheetName val="Tree Ties"/>
      <sheetName val="Irrigation"/>
      <sheetName val="Row Cover Prices"/>
      <sheetName val="Plant Prices"/>
      <sheetName val="Input Sources"/>
      <sheetName val="Buyers"/>
      <sheetName val="Info Sources"/>
      <sheetName val="Input Prices"/>
      <sheetName val="Apples-OH"/>
      <sheetName val="Peaches-KY"/>
      <sheetName val="Blackberries-MO"/>
      <sheetName val="Blueberries - MO"/>
      <sheetName val="Strawberry - High Tunnel - MO"/>
      <sheetName val="Strawberries - IA"/>
      <sheetName val="Apples - Trash"/>
      <sheetName val="Peaches-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3">
          <cell r="D73">
            <v>151</v>
          </cell>
        </row>
        <row r="75">
          <cell r="D75">
            <v>43560</v>
          </cell>
        </row>
        <row r="77">
          <cell r="D77">
            <v>616.08796296296305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0D454-8C7E-4D92-897A-6D128614955D}">
  <dimension ref="B1:P58"/>
  <sheetViews>
    <sheetView tabSelected="1" workbookViewId="0">
      <selection activeCell="B1" sqref="B1"/>
    </sheetView>
  </sheetViews>
  <sheetFormatPr defaultColWidth="9.109375" defaultRowHeight="15.6" x14ac:dyDescent="0.35"/>
  <cols>
    <col min="1" max="1" width="3.109375" style="2" customWidth="1"/>
    <col min="2" max="2" width="42" style="2" customWidth="1"/>
    <col min="3" max="3" width="10.109375" style="2" bestFit="1" customWidth="1"/>
    <col min="4" max="6" width="11.6640625" style="2" customWidth="1"/>
    <col min="7" max="7" width="1.6640625" style="2" customWidth="1"/>
    <col min="8" max="8" width="13.33203125" style="2" bestFit="1" customWidth="1"/>
    <col min="9" max="9" width="9.33203125" style="2" bestFit="1" customWidth="1"/>
    <col min="10" max="10" width="10.88671875" style="2" bestFit="1" customWidth="1"/>
    <col min="11" max="11" width="1" style="2" customWidth="1"/>
    <col min="12" max="13" width="9.109375" style="2"/>
    <col min="14" max="14" width="10.109375" style="2" bestFit="1" customWidth="1"/>
    <col min="15" max="15" width="10.6640625" style="2" bestFit="1" customWidth="1"/>
    <col min="16" max="16384" width="9.109375" style="2"/>
  </cols>
  <sheetData>
    <row r="1" spans="2:15" ht="17.399999999999999" x14ac:dyDescent="0.4">
      <c r="B1" s="1" t="s">
        <v>0</v>
      </c>
    </row>
    <row r="2" spans="2:15" ht="17.399999999999999" x14ac:dyDescent="0.4">
      <c r="B2" s="1" t="s">
        <v>1</v>
      </c>
    </row>
    <row r="3" spans="2:15" ht="17.399999999999999" x14ac:dyDescent="0.4">
      <c r="B3" s="3"/>
      <c r="C3" s="3"/>
      <c r="D3" s="4" t="s">
        <v>2</v>
      </c>
      <c r="E3" s="5"/>
      <c r="F3" s="5"/>
      <c r="G3" s="6"/>
      <c r="H3" s="4" t="s">
        <v>3</v>
      </c>
      <c r="I3" s="5"/>
      <c r="J3" s="5"/>
      <c r="K3" s="6"/>
    </row>
    <row r="4" spans="2:15" ht="63" thickBot="1" x14ac:dyDescent="0.4"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/>
      <c r="H4" s="8" t="s">
        <v>6</v>
      </c>
      <c r="I4" s="8" t="s">
        <v>7</v>
      </c>
      <c r="J4" s="8" t="s">
        <v>8</v>
      </c>
      <c r="K4" s="9"/>
    </row>
    <row r="5" spans="2:15" x14ac:dyDescent="0.35">
      <c r="B5" s="2" t="s">
        <v>9</v>
      </c>
      <c r="C5" s="2" t="s">
        <v>10</v>
      </c>
      <c r="D5" s="2">
        <v>0</v>
      </c>
      <c r="E5" s="28">
        <v>5.5</v>
      </c>
      <c r="F5" s="10">
        <f>D5*E5</f>
        <v>0</v>
      </c>
      <c r="H5" s="11">
        <f>1.2*650*(1-0.166)</f>
        <v>650.52</v>
      </c>
      <c r="I5" s="11">
        <f>E5</f>
        <v>5.5</v>
      </c>
      <c r="J5" s="10">
        <f>H5*I5</f>
        <v>3577.8599999999997</v>
      </c>
      <c r="O5" s="12"/>
    </row>
    <row r="6" spans="2:15" ht="16.2" thickBot="1" x14ac:dyDescent="0.4">
      <c r="B6" s="13" t="s">
        <v>11</v>
      </c>
      <c r="C6" s="14"/>
      <c r="D6" s="14"/>
      <c r="E6" s="14"/>
      <c r="F6" s="15">
        <f>F5</f>
        <v>0</v>
      </c>
      <c r="G6" s="14"/>
      <c r="H6" s="14"/>
      <c r="I6" s="14"/>
      <c r="J6" s="15">
        <f>J5</f>
        <v>3577.8599999999997</v>
      </c>
      <c r="K6" s="14"/>
    </row>
    <row r="7" spans="2:15" ht="12.75" customHeight="1" x14ac:dyDescent="0.35">
      <c r="B7" s="34" t="s">
        <v>12</v>
      </c>
    </row>
    <row r="8" spans="2:15" x14ac:dyDescent="0.35">
      <c r="B8" s="6"/>
      <c r="C8" s="16"/>
      <c r="D8" s="4" t="s">
        <v>2</v>
      </c>
      <c r="E8" s="5"/>
      <c r="F8" s="5"/>
      <c r="G8" s="6"/>
      <c r="H8" s="4" t="s">
        <v>3</v>
      </c>
      <c r="I8" s="5"/>
      <c r="J8" s="5"/>
      <c r="K8" s="6"/>
    </row>
    <row r="9" spans="2:15" ht="63" thickBot="1" x14ac:dyDescent="0.4">
      <c r="B9" s="17" t="s">
        <v>13</v>
      </c>
      <c r="C9" s="18" t="s">
        <v>14</v>
      </c>
      <c r="D9" s="18" t="s">
        <v>15</v>
      </c>
      <c r="E9" s="18" t="s">
        <v>16</v>
      </c>
      <c r="F9" s="18" t="s">
        <v>17</v>
      </c>
      <c r="G9" s="9"/>
      <c r="H9" s="18" t="s">
        <v>15</v>
      </c>
      <c r="I9" s="18" t="s">
        <v>16</v>
      </c>
      <c r="J9" s="18" t="s">
        <v>17</v>
      </c>
      <c r="K9" s="9"/>
    </row>
    <row r="10" spans="2:15" ht="6.75" customHeight="1" x14ac:dyDescent="0.35"/>
    <row r="11" spans="2:15" x14ac:dyDescent="0.35">
      <c r="B11" s="2" t="s">
        <v>18</v>
      </c>
      <c r="C11" s="2" t="s">
        <v>19</v>
      </c>
      <c r="D11" s="2">
        <v>650</v>
      </c>
      <c r="E11" s="28">
        <v>0.15</v>
      </c>
      <c r="F11" s="19">
        <f t="shared" ref="F11" si="0">D11*E11</f>
        <v>97.5</v>
      </c>
      <c r="H11" s="2">
        <v>0</v>
      </c>
      <c r="I11" s="2">
        <f t="shared" ref="I11:I13" si="1">$E11</f>
        <v>0.15</v>
      </c>
      <c r="J11" s="19">
        <f t="shared" ref="J11:J16" si="2">H11*I11</f>
        <v>0</v>
      </c>
    </row>
    <row r="12" spans="2:15" x14ac:dyDescent="0.35">
      <c r="B12" s="2" t="s">
        <v>20</v>
      </c>
      <c r="C12" s="2" t="s">
        <v>21</v>
      </c>
      <c r="D12" s="2">
        <v>1</v>
      </c>
      <c r="E12" s="29">
        <v>12.5</v>
      </c>
      <c r="F12" s="19">
        <f>D12*E12</f>
        <v>12.5</v>
      </c>
      <c r="H12" s="2">
        <v>0</v>
      </c>
      <c r="I12" s="2">
        <f t="shared" si="1"/>
        <v>12.5</v>
      </c>
      <c r="J12" s="19">
        <f t="shared" si="2"/>
        <v>0</v>
      </c>
    </row>
    <row r="13" spans="2:15" x14ac:dyDescent="0.35">
      <c r="B13" s="2" t="s">
        <v>22</v>
      </c>
      <c r="C13" s="2" t="s">
        <v>23</v>
      </c>
      <c r="D13" s="2">
        <v>158</v>
      </c>
      <c r="E13" s="28">
        <v>6.4000000000000001E-2</v>
      </c>
      <c r="F13" s="19">
        <f>D13*E13</f>
        <v>10.112</v>
      </c>
      <c r="H13" s="2">
        <v>0</v>
      </c>
      <c r="I13" s="2">
        <f t="shared" si="1"/>
        <v>6.4000000000000001E-2</v>
      </c>
      <c r="J13" s="19">
        <f t="shared" si="2"/>
        <v>0</v>
      </c>
    </row>
    <row r="14" spans="2:15" x14ac:dyDescent="0.35">
      <c r="B14" s="33" t="s">
        <v>24</v>
      </c>
      <c r="C14" s="31"/>
      <c r="D14" s="31"/>
      <c r="E14" s="31"/>
      <c r="F14" s="32"/>
      <c r="G14" s="31"/>
      <c r="H14" s="31"/>
      <c r="I14" s="31"/>
      <c r="J14" s="31"/>
    </row>
    <row r="15" spans="2:15" x14ac:dyDescent="0.35">
      <c r="B15" s="2" t="s">
        <v>25</v>
      </c>
      <c r="C15" s="2" t="s">
        <v>10</v>
      </c>
      <c r="D15" s="2">
        <v>1</v>
      </c>
      <c r="E15" s="29">
        <v>2.75</v>
      </c>
      <c r="F15" s="19">
        <f>D15*E15</f>
        <v>2.75</v>
      </c>
      <c r="H15" s="2">
        <v>0</v>
      </c>
      <c r="I15" s="2">
        <f>E15</f>
        <v>2.75</v>
      </c>
      <c r="J15" s="19">
        <f t="shared" ref="J15" si="3">H15*I15</f>
        <v>0</v>
      </c>
    </row>
    <row r="16" spans="2:15" x14ac:dyDescent="0.35">
      <c r="B16" s="20" t="s">
        <v>26</v>
      </c>
      <c r="C16" s="2" t="s">
        <v>10</v>
      </c>
      <c r="D16" s="2">
        <v>1.1000000000000001</v>
      </c>
      <c r="E16" s="29">
        <f>17.64/1.1</f>
        <v>16.036363636363635</v>
      </c>
      <c r="F16" s="19">
        <f>D16*E16</f>
        <v>17.64</v>
      </c>
      <c r="H16" s="2">
        <v>0</v>
      </c>
      <c r="I16" s="2">
        <f>E16</f>
        <v>16.036363636363635</v>
      </c>
      <c r="J16" s="19">
        <f t="shared" si="2"/>
        <v>0</v>
      </c>
    </row>
    <row r="17" spans="2:13" x14ac:dyDescent="0.35">
      <c r="B17" s="20" t="s">
        <v>27</v>
      </c>
      <c r="C17" s="2" t="s">
        <v>10</v>
      </c>
      <c r="D17" s="2">
        <v>0</v>
      </c>
      <c r="E17" s="29">
        <v>0.315</v>
      </c>
      <c r="F17" s="19">
        <f>D17*E17</f>
        <v>0</v>
      </c>
      <c r="H17" s="2">
        <v>0</v>
      </c>
      <c r="I17" s="2">
        <f t="shared" ref="I17:I19" si="4">$E17</f>
        <v>0.315</v>
      </c>
      <c r="J17" s="19">
        <f>H17*I17</f>
        <v>0</v>
      </c>
    </row>
    <row r="18" spans="2:13" x14ac:dyDescent="0.35">
      <c r="B18" s="20" t="s">
        <v>28</v>
      </c>
      <c r="C18" s="2" t="s">
        <v>10</v>
      </c>
      <c r="D18" s="2">
        <v>0</v>
      </c>
      <c r="E18" s="29">
        <v>0.3</v>
      </c>
      <c r="F18" s="19">
        <f>D18*E18</f>
        <v>0</v>
      </c>
      <c r="H18" s="2">
        <v>0</v>
      </c>
      <c r="I18" s="2">
        <f t="shared" si="4"/>
        <v>0.3</v>
      </c>
      <c r="J18" s="19">
        <f>H18*I18</f>
        <v>0</v>
      </c>
    </row>
    <row r="19" spans="2:13" x14ac:dyDescent="0.35">
      <c r="B19" s="20" t="s">
        <v>29</v>
      </c>
      <c r="C19" s="2" t="s">
        <v>30</v>
      </c>
      <c r="D19" s="2">
        <v>0</v>
      </c>
      <c r="E19" s="29">
        <v>23</v>
      </c>
      <c r="F19" s="19">
        <f>D19*E19</f>
        <v>0</v>
      </c>
      <c r="H19" s="2">
        <v>0</v>
      </c>
      <c r="I19" s="2">
        <f t="shared" si="4"/>
        <v>23</v>
      </c>
      <c r="J19" s="19">
        <f>H19*I19</f>
        <v>0</v>
      </c>
    </row>
    <row r="20" spans="2:13" x14ac:dyDescent="0.35">
      <c r="B20" s="33" t="s">
        <v>31</v>
      </c>
      <c r="C20" s="31"/>
      <c r="D20" s="31"/>
      <c r="E20" s="31"/>
      <c r="F20" s="32"/>
      <c r="G20" s="31"/>
      <c r="H20" s="31"/>
      <c r="I20" s="31"/>
      <c r="J20" s="31"/>
    </row>
    <row r="21" spans="2:13" x14ac:dyDescent="0.35">
      <c r="B21" s="2" t="s">
        <v>32</v>
      </c>
      <c r="C21" s="2" t="s">
        <v>33</v>
      </c>
      <c r="D21" s="2">
        <v>0</v>
      </c>
      <c r="E21" s="29">
        <v>4.0617187499999998</v>
      </c>
      <c r="F21" s="19">
        <f t="shared" ref="F21:F28" si="5">D21*E21</f>
        <v>0</v>
      </c>
      <c r="H21" s="2">
        <v>1</v>
      </c>
      <c r="I21" s="2">
        <f>$E21</f>
        <v>4.0617187499999998</v>
      </c>
      <c r="J21" s="19">
        <f t="shared" ref="J21:J22" si="6">H21*I21</f>
        <v>4.0617187499999998</v>
      </c>
    </row>
    <row r="22" spans="2:13" x14ac:dyDescent="0.35">
      <c r="B22" s="2" t="s">
        <v>34</v>
      </c>
      <c r="C22" s="2" t="s">
        <v>33</v>
      </c>
      <c r="D22" s="2">
        <v>0</v>
      </c>
      <c r="E22" s="29">
        <v>0.93</v>
      </c>
      <c r="F22" s="19">
        <f t="shared" si="5"/>
        <v>0</v>
      </c>
      <c r="H22" s="2">
        <v>0</v>
      </c>
      <c r="I22" s="2">
        <f>E22</f>
        <v>0.93</v>
      </c>
      <c r="J22" s="19">
        <f t="shared" si="6"/>
        <v>0</v>
      </c>
    </row>
    <row r="23" spans="2:13" x14ac:dyDescent="0.35">
      <c r="B23" s="33" t="s">
        <v>35</v>
      </c>
      <c r="C23" s="31"/>
      <c r="D23" s="31"/>
      <c r="E23" s="31"/>
      <c r="F23" s="32"/>
      <c r="G23" s="31"/>
      <c r="H23" s="31"/>
      <c r="I23" s="31"/>
      <c r="J23" s="31"/>
    </row>
    <row r="24" spans="2:13" x14ac:dyDescent="0.35">
      <c r="B24" s="2" t="s">
        <v>36</v>
      </c>
      <c r="C24" s="2" t="s">
        <v>10</v>
      </c>
      <c r="D24" s="2">
        <v>0</v>
      </c>
      <c r="E24" s="29">
        <v>4.8316666666666661</v>
      </c>
      <c r="F24" s="19">
        <f t="shared" si="5"/>
        <v>0</v>
      </c>
      <c r="H24" s="2">
        <v>1</v>
      </c>
      <c r="I24" s="2">
        <f>E24</f>
        <v>4.8316666666666661</v>
      </c>
      <c r="J24" s="19">
        <f t="shared" ref="J24:J28" si="7">H24*I24</f>
        <v>4.8316666666666661</v>
      </c>
      <c r="M24" s="19"/>
    </row>
    <row r="25" spans="2:13" x14ac:dyDescent="0.35">
      <c r="B25" s="2" t="s">
        <v>37</v>
      </c>
      <c r="C25" s="2" t="s">
        <v>33</v>
      </c>
      <c r="D25" s="2">
        <v>0</v>
      </c>
      <c r="E25" s="29">
        <v>3.2912499999999998</v>
      </c>
      <c r="F25" s="19">
        <f t="shared" si="5"/>
        <v>0</v>
      </c>
      <c r="H25" s="2">
        <v>0</v>
      </c>
      <c r="I25" s="2">
        <f>E25</f>
        <v>3.2912499999999998</v>
      </c>
      <c r="J25" s="19">
        <f t="shared" si="7"/>
        <v>0</v>
      </c>
    </row>
    <row r="26" spans="2:13" x14ac:dyDescent="0.35">
      <c r="B26" s="2" t="s">
        <v>38</v>
      </c>
      <c r="C26" s="2" t="s">
        <v>23</v>
      </c>
      <c r="D26" s="2">
        <v>411</v>
      </c>
      <c r="E26" s="29">
        <v>3.2000000000000001E-2</v>
      </c>
      <c r="F26" s="19">
        <f t="shared" si="5"/>
        <v>13.152000000000001</v>
      </c>
      <c r="H26" s="2">
        <v>0</v>
      </c>
      <c r="I26" s="2">
        <f>E26</f>
        <v>3.2000000000000001E-2</v>
      </c>
      <c r="J26" s="19">
        <f t="shared" si="7"/>
        <v>0</v>
      </c>
    </row>
    <row r="27" spans="2:13" x14ac:dyDescent="0.35">
      <c r="B27" s="2" t="s">
        <v>39</v>
      </c>
      <c r="C27" s="2" t="s">
        <v>40</v>
      </c>
      <c r="D27" s="2">
        <v>0</v>
      </c>
      <c r="E27" s="29">
        <v>6.35</v>
      </c>
      <c r="F27" s="19">
        <f t="shared" si="5"/>
        <v>0</v>
      </c>
      <c r="H27" s="2">
        <v>1</v>
      </c>
      <c r="I27" s="2">
        <f>E27</f>
        <v>6.35</v>
      </c>
      <c r="J27" s="19">
        <f t="shared" si="7"/>
        <v>6.35</v>
      </c>
    </row>
    <row r="28" spans="2:13" x14ac:dyDescent="0.35">
      <c r="B28" s="2" t="s">
        <v>41</v>
      </c>
      <c r="C28" s="2" t="s">
        <v>42</v>
      </c>
      <c r="D28" s="2">
        <v>0</v>
      </c>
      <c r="E28" s="29">
        <v>30</v>
      </c>
      <c r="F28" s="19">
        <f t="shared" si="5"/>
        <v>0</v>
      </c>
      <c r="H28" s="2">
        <v>1</v>
      </c>
      <c r="I28" s="2">
        <f>E28</f>
        <v>30</v>
      </c>
      <c r="J28" s="19">
        <f t="shared" si="7"/>
        <v>30</v>
      </c>
    </row>
    <row r="29" spans="2:13" x14ac:dyDescent="0.35">
      <c r="B29" s="2" t="s">
        <v>43</v>
      </c>
      <c r="D29" s="21">
        <f>F29/E29</f>
        <v>661.16666666666674</v>
      </c>
      <c r="E29" s="29">
        <v>0.06</v>
      </c>
      <c r="F29" s="19">
        <v>39.67</v>
      </c>
      <c r="J29" s="19"/>
    </row>
    <row r="30" spans="2:13" x14ac:dyDescent="0.35">
      <c r="B30" s="2" t="s">
        <v>44</v>
      </c>
      <c r="E30" s="29"/>
      <c r="F30" s="19">
        <v>9.98</v>
      </c>
      <c r="J30" s="19"/>
      <c r="M30" s="19"/>
    </row>
    <row r="31" spans="2:13" x14ac:dyDescent="0.35">
      <c r="B31" s="2" t="s">
        <v>45</v>
      </c>
      <c r="E31" s="29"/>
      <c r="F31" s="19">
        <v>2.5</v>
      </c>
      <c r="J31" s="19"/>
    </row>
    <row r="32" spans="2:13" x14ac:dyDescent="0.35">
      <c r="B32" s="2" t="s">
        <v>46</v>
      </c>
      <c r="E32" s="29"/>
      <c r="F32" s="19"/>
      <c r="H32" s="2">
        <v>1</v>
      </c>
      <c r="I32" s="2">
        <v>0</v>
      </c>
      <c r="J32" s="19">
        <v>21.67</v>
      </c>
    </row>
    <row r="33" spans="2:16" x14ac:dyDescent="0.35">
      <c r="B33" s="33" t="s">
        <v>47</v>
      </c>
      <c r="C33" s="31"/>
      <c r="D33" s="31"/>
      <c r="E33" s="31"/>
      <c r="F33" s="32"/>
      <c r="G33" s="31"/>
      <c r="H33" s="31"/>
      <c r="I33" s="31"/>
      <c r="J33" s="31"/>
    </row>
    <row r="34" spans="2:16" x14ac:dyDescent="0.35">
      <c r="B34" s="2" t="s">
        <v>48</v>
      </c>
      <c r="C34" s="2" t="s">
        <v>49</v>
      </c>
      <c r="D34" s="22">
        <f>D5*16/12</f>
        <v>0</v>
      </c>
      <c r="E34" s="29">
        <v>0.111</v>
      </c>
      <c r="F34" s="19">
        <f t="shared" ref="F34:F36" si="8">D34*E34</f>
        <v>0</v>
      </c>
      <c r="H34" s="22">
        <f>ROUND(H5/1.2,0)</f>
        <v>542</v>
      </c>
      <c r="I34" s="2">
        <f>E34</f>
        <v>0.111</v>
      </c>
      <c r="J34" s="19">
        <f t="shared" ref="J34:J36" si="9">H34*I34</f>
        <v>60.161999999999999</v>
      </c>
    </row>
    <row r="35" spans="2:16" x14ac:dyDescent="0.35">
      <c r="B35" s="2" t="s">
        <v>50</v>
      </c>
      <c r="C35" s="2" t="s">
        <v>51</v>
      </c>
      <c r="D35" s="22">
        <f>D34/12</f>
        <v>0</v>
      </c>
      <c r="E35" s="29">
        <v>1.26</v>
      </c>
      <c r="F35" s="19">
        <f t="shared" si="8"/>
        <v>0</v>
      </c>
      <c r="H35" s="22">
        <f>ROUND(H34/8,0)</f>
        <v>68</v>
      </c>
      <c r="I35" s="2">
        <f>E35</f>
        <v>1.26</v>
      </c>
      <c r="J35" s="19">
        <f t="shared" si="9"/>
        <v>85.68</v>
      </c>
    </row>
    <row r="36" spans="2:16" x14ac:dyDescent="0.35">
      <c r="B36" s="2" t="s">
        <v>52</v>
      </c>
      <c r="C36" s="2" t="s">
        <v>40</v>
      </c>
      <c r="D36" s="2">
        <v>0</v>
      </c>
      <c r="E36" s="29">
        <v>375</v>
      </c>
      <c r="F36" s="19">
        <f t="shared" si="8"/>
        <v>0</v>
      </c>
      <c r="H36" s="2">
        <v>0</v>
      </c>
      <c r="I36" s="2">
        <v>375</v>
      </c>
      <c r="J36" s="19">
        <f t="shared" si="9"/>
        <v>0</v>
      </c>
    </row>
    <row r="37" spans="2:16" x14ac:dyDescent="0.35">
      <c r="B37" s="31" t="s">
        <v>53</v>
      </c>
      <c r="C37" s="31"/>
      <c r="D37" s="31"/>
      <c r="E37" s="31"/>
      <c r="F37" s="32"/>
      <c r="G37" s="31"/>
      <c r="H37" s="31"/>
      <c r="I37" s="31"/>
      <c r="J37" s="31"/>
    </row>
    <row r="38" spans="2:16" x14ac:dyDescent="0.35">
      <c r="B38" s="2" t="s">
        <v>54</v>
      </c>
      <c r="C38" s="2" t="s">
        <v>55</v>
      </c>
      <c r="D38" s="2">
        <f>0.5+0.5+3+0.5+1.5+0.5+4</f>
        <v>10.5</v>
      </c>
      <c r="E38" s="29">
        <v>12.5</v>
      </c>
      <c r="F38" s="19">
        <f t="shared" ref="F38:F45" si="10">D38*E38</f>
        <v>131.25</v>
      </c>
      <c r="H38" s="2">
        <f>(1+1+5+0.5+0.5+5)</f>
        <v>13</v>
      </c>
      <c r="I38" s="2">
        <f>E38</f>
        <v>12.5</v>
      </c>
      <c r="J38" s="19">
        <f t="shared" ref="J38:J45" si="11">H38*I38</f>
        <v>162.5</v>
      </c>
    </row>
    <row r="39" spans="2:16" x14ac:dyDescent="0.35">
      <c r="B39" s="2" t="s">
        <v>56</v>
      </c>
      <c r="C39" s="2" t="s">
        <v>55</v>
      </c>
      <c r="D39" s="21">
        <f>D5/23</f>
        <v>0</v>
      </c>
      <c r="E39" s="29">
        <v>12.5</v>
      </c>
      <c r="F39" s="19">
        <f t="shared" si="10"/>
        <v>0</v>
      </c>
      <c r="H39" s="21">
        <v>12</v>
      </c>
      <c r="I39" s="2">
        <f t="shared" ref="I39:I40" si="12">E39</f>
        <v>12.5</v>
      </c>
      <c r="J39" s="19">
        <f t="shared" si="11"/>
        <v>150</v>
      </c>
    </row>
    <row r="40" spans="2:16" x14ac:dyDescent="0.35">
      <c r="B40" s="2" t="s">
        <v>57</v>
      </c>
      <c r="C40" s="2" t="s">
        <v>55</v>
      </c>
      <c r="D40" s="2">
        <v>0</v>
      </c>
      <c r="E40" s="29">
        <v>12.5</v>
      </c>
      <c r="F40" s="19">
        <f t="shared" si="10"/>
        <v>0</v>
      </c>
      <c r="H40" s="2">
        <v>6</v>
      </c>
      <c r="I40" s="2">
        <f t="shared" si="12"/>
        <v>12.5</v>
      </c>
      <c r="J40" s="19">
        <f t="shared" si="11"/>
        <v>75</v>
      </c>
    </row>
    <row r="41" spans="2:16" x14ac:dyDescent="0.35">
      <c r="B41" s="2" t="s">
        <v>58</v>
      </c>
      <c r="E41" s="29"/>
      <c r="F41" s="19">
        <f t="shared" si="10"/>
        <v>0</v>
      </c>
      <c r="J41" s="19">
        <f t="shared" si="11"/>
        <v>0</v>
      </c>
      <c r="P41" s="19"/>
    </row>
    <row r="42" spans="2:16" x14ac:dyDescent="0.35">
      <c r="B42" s="20" t="s">
        <v>59</v>
      </c>
      <c r="C42" s="2" t="s">
        <v>60</v>
      </c>
      <c r="D42" s="2">
        <v>1</v>
      </c>
      <c r="E42" s="29">
        <v>5</v>
      </c>
      <c r="F42" s="19">
        <f t="shared" si="10"/>
        <v>5</v>
      </c>
      <c r="H42" s="2">
        <v>0</v>
      </c>
      <c r="I42" s="2">
        <v>17.059999999999999</v>
      </c>
      <c r="J42" s="19">
        <f t="shared" si="11"/>
        <v>0</v>
      </c>
      <c r="M42" s="19"/>
      <c r="N42" s="19"/>
    </row>
    <row r="43" spans="2:16" x14ac:dyDescent="0.35">
      <c r="B43" s="2" t="s">
        <v>61</v>
      </c>
      <c r="C43" s="2" t="s">
        <v>40</v>
      </c>
      <c r="D43" s="23">
        <v>6</v>
      </c>
      <c r="E43" s="29">
        <v>0.06</v>
      </c>
      <c r="F43" s="19">
        <f>SUM(F11:F42)*E43*D43/12</f>
        <v>10.261619999999999</v>
      </c>
      <c r="H43" s="23">
        <v>6</v>
      </c>
      <c r="I43" s="2">
        <v>0.06</v>
      </c>
      <c r="J43" s="19">
        <f>SUM(J11:J42)*I43*H43/12</f>
        <v>18.007661562500001</v>
      </c>
    </row>
    <row r="44" spans="2:16" x14ac:dyDescent="0.35">
      <c r="B44" s="20" t="s">
        <v>62</v>
      </c>
      <c r="C44" s="2" t="s">
        <v>40</v>
      </c>
      <c r="D44" s="2">
        <v>1</v>
      </c>
      <c r="E44" s="28">
        <f>'[1]Input Prices'!D77</f>
        <v>616.08796296296305</v>
      </c>
      <c r="F44" s="19">
        <f>D44*E44</f>
        <v>616.08796296296305</v>
      </c>
      <c r="H44" s="2">
        <v>1</v>
      </c>
      <c r="I44" s="11">
        <f>E44</f>
        <v>616.08796296296305</v>
      </c>
      <c r="J44" s="19">
        <f t="shared" si="11"/>
        <v>616.08796296296305</v>
      </c>
    </row>
    <row r="45" spans="2:16" x14ac:dyDescent="0.35">
      <c r="B45" s="2" t="s">
        <v>63</v>
      </c>
      <c r="C45" s="2" t="s">
        <v>40</v>
      </c>
      <c r="D45" s="2">
        <v>4</v>
      </c>
      <c r="E45" s="28">
        <f>'[1]Input Prices'!D73*1/0.5*1000/'[1]Input Prices'!D75/12</f>
        <v>0.57774716865625952</v>
      </c>
      <c r="F45" s="19">
        <f t="shared" si="10"/>
        <v>2.3109886746250381</v>
      </c>
      <c r="H45" s="2">
        <v>8</v>
      </c>
      <c r="I45" s="11">
        <f>E45</f>
        <v>0.57774716865625952</v>
      </c>
      <c r="J45" s="19">
        <f t="shared" si="11"/>
        <v>4.6219773492500762</v>
      </c>
    </row>
    <row r="46" spans="2:16" ht="16.2" thickBot="1" x14ac:dyDescent="0.4">
      <c r="B46" s="14" t="s">
        <v>64</v>
      </c>
      <c r="C46" s="14"/>
      <c r="D46" s="14"/>
      <c r="E46" s="30"/>
      <c r="F46" s="15">
        <f>SUM(F11:F45)</f>
        <v>970.71457163758805</v>
      </c>
      <c r="G46" s="14"/>
      <c r="H46" s="14"/>
      <c r="I46" s="14"/>
      <c r="J46" s="15">
        <f>SUM(J11:J44)</f>
        <v>1234.3510099421296</v>
      </c>
    </row>
    <row r="47" spans="2:16" ht="6.75" customHeight="1" x14ac:dyDescent="0.35">
      <c r="F47" s="19"/>
    </row>
    <row r="48" spans="2:16" ht="16.2" thickBot="1" x14ac:dyDescent="0.4">
      <c r="B48" s="24" t="s">
        <v>65</v>
      </c>
      <c r="C48" s="25"/>
      <c r="D48" s="25"/>
      <c r="E48" s="25"/>
      <c r="F48" s="26">
        <f>F6-F46</f>
        <v>-970.71457163758805</v>
      </c>
      <c r="G48" s="25"/>
      <c r="H48" s="25"/>
      <c r="I48" s="25"/>
      <c r="J48" s="26">
        <f>J6-J46</f>
        <v>2343.5089900578701</v>
      </c>
    </row>
    <row r="49" spans="2:15" ht="16.2" thickTop="1" x14ac:dyDescent="0.35"/>
    <row r="50" spans="2:15" x14ac:dyDescent="0.35">
      <c r="B50" s="2" t="s">
        <v>66</v>
      </c>
      <c r="M50" s="19"/>
      <c r="N50" s="19"/>
      <c r="O50" s="19"/>
    </row>
    <row r="51" spans="2:15" x14ac:dyDescent="0.35">
      <c r="B51" s="2" t="s">
        <v>67</v>
      </c>
      <c r="E51" s="19">
        <f>(F48+J48/(1+C53))</f>
        <v>1240.1429661528555</v>
      </c>
    </row>
    <row r="52" spans="2:15" x14ac:dyDescent="0.35">
      <c r="B52" s="2" t="s">
        <v>68</v>
      </c>
      <c r="E52" s="19">
        <f>(F48+J48/(1+C53)+J48/(1+C53)^2)</f>
        <v>3325.8576244457263</v>
      </c>
      <c r="L52" s="19"/>
      <c r="O52" s="19"/>
    </row>
    <row r="53" spans="2:15" x14ac:dyDescent="0.35">
      <c r="B53" s="2" t="s">
        <v>69</v>
      </c>
      <c r="C53" s="27">
        <v>0.06</v>
      </c>
    </row>
    <row r="54" spans="2:15" x14ac:dyDescent="0.35">
      <c r="C54" s="27"/>
    </row>
    <row r="55" spans="2:15" x14ac:dyDescent="0.35">
      <c r="B55" s="2" t="s">
        <v>70</v>
      </c>
      <c r="C55" s="27"/>
    </row>
    <row r="56" spans="2:15" x14ac:dyDescent="0.35">
      <c r="B56" s="2" t="s">
        <v>67</v>
      </c>
      <c r="E56" s="19">
        <f>E51/1</f>
        <v>1240.1429661528555</v>
      </c>
    </row>
    <row r="57" spans="2:15" x14ac:dyDescent="0.35">
      <c r="B57" s="2" t="s">
        <v>68</v>
      </c>
      <c r="E57" s="19">
        <f>E52/2</f>
        <v>1662.9288122228631</v>
      </c>
    </row>
    <row r="58" spans="2:15" x14ac:dyDescent="0.35">
      <c r="B58" s="2" t="s">
        <v>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Kruse</dc:creator>
  <cp:lastModifiedBy>Jackson, Lauren</cp:lastModifiedBy>
  <dcterms:created xsi:type="dcterms:W3CDTF">2020-07-30T17:43:56Z</dcterms:created>
  <dcterms:modified xsi:type="dcterms:W3CDTF">2021-03-31T20:07:02Z</dcterms:modified>
</cp:coreProperties>
</file>