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08E8D152-B342-44ED-BC9D-BD193A84F0F8}" xr6:coauthVersionLast="46" xr6:coauthVersionMax="46" xr10:uidLastSave="{00000000-0000-0000-0000-000000000000}"/>
  <bookViews>
    <workbookView xWindow="1152" yWindow="1152" windowWidth="9864" windowHeight="11244" xr2:uid="{7D307E44-3315-411B-AE51-06158F9CB3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V5" i="1" s="1"/>
  <c r="V6" i="1" s="1"/>
  <c r="Y5" i="1"/>
  <c r="Z5" i="1" s="1"/>
  <c r="Z6" i="1" s="1"/>
  <c r="Q5" i="1"/>
  <c r="R5" i="1" s="1"/>
  <c r="R6" i="1" s="1"/>
  <c r="M5" i="1"/>
  <c r="N5" i="1" s="1"/>
  <c r="N6" i="1" s="1"/>
  <c r="I5" i="1"/>
  <c r="Z40" i="1"/>
  <c r="V40" i="1"/>
  <c r="R40" i="1"/>
  <c r="N40" i="1"/>
  <c r="J40" i="1"/>
  <c r="F40" i="1"/>
  <c r="Z39" i="1"/>
  <c r="V39" i="1"/>
  <c r="R39" i="1"/>
  <c r="N39" i="1"/>
  <c r="J39" i="1"/>
  <c r="F39" i="1"/>
  <c r="Z38" i="1"/>
  <c r="V38" i="1"/>
  <c r="R38" i="1"/>
  <c r="N38" i="1"/>
  <c r="J38" i="1"/>
  <c r="F38" i="1"/>
  <c r="Y37" i="1"/>
  <c r="Z37" i="1" s="1"/>
  <c r="U37" i="1"/>
  <c r="V37" i="1" s="1"/>
  <c r="Q37" i="1"/>
  <c r="R37" i="1" s="1"/>
  <c r="M37" i="1"/>
  <c r="N37" i="1" s="1"/>
  <c r="I37" i="1"/>
  <c r="J37" i="1" s="1"/>
  <c r="F37" i="1"/>
  <c r="Y33" i="1"/>
  <c r="Z33" i="1" s="1"/>
  <c r="U33" i="1"/>
  <c r="V33" i="1" s="1"/>
  <c r="Q33" i="1"/>
  <c r="R33" i="1" s="1"/>
  <c r="M33" i="1"/>
  <c r="N33" i="1" s="1"/>
  <c r="I33" i="1"/>
  <c r="J33" i="1" s="1"/>
  <c r="F33" i="1"/>
  <c r="Y32" i="1"/>
  <c r="U32" i="1"/>
  <c r="Q32" i="1"/>
  <c r="M32" i="1"/>
  <c r="I32" i="1"/>
  <c r="Y31" i="1"/>
  <c r="Z31" i="1" s="1"/>
  <c r="U31" i="1"/>
  <c r="V31" i="1" s="1"/>
  <c r="Q31" i="1"/>
  <c r="R31" i="1" s="1"/>
  <c r="M31" i="1"/>
  <c r="L31" i="1"/>
  <c r="N31" i="1" s="1"/>
  <c r="I31" i="1"/>
  <c r="J31" i="1" s="1"/>
  <c r="D31" i="1"/>
  <c r="F31" i="1" s="1"/>
  <c r="Y30" i="1"/>
  <c r="Z30" i="1" s="1"/>
  <c r="U30" i="1"/>
  <c r="V30" i="1" s="1"/>
  <c r="Q30" i="1"/>
  <c r="R30" i="1" s="1"/>
  <c r="M30" i="1"/>
  <c r="N30" i="1" s="1"/>
  <c r="I30" i="1"/>
  <c r="J30" i="1" s="1"/>
  <c r="F30" i="1"/>
  <c r="Y29" i="1"/>
  <c r="Z29" i="1" s="1"/>
  <c r="U29" i="1"/>
  <c r="V29" i="1" s="1"/>
  <c r="Q29" i="1"/>
  <c r="R29" i="1" s="1"/>
  <c r="M29" i="1"/>
  <c r="N29" i="1" s="1"/>
  <c r="I29" i="1"/>
  <c r="J29" i="1" s="1"/>
  <c r="F29" i="1"/>
  <c r="Y26" i="1"/>
  <c r="U26" i="1"/>
  <c r="Q26" i="1"/>
  <c r="M26" i="1"/>
  <c r="I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J23" i="1"/>
  <c r="F23" i="1"/>
  <c r="Z22" i="1"/>
  <c r="V22" i="1"/>
  <c r="R22" i="1"/>
  <c r="N22" i="1"/>
  <c r="J22" i="1"/>
  <c r="F22" i="1"/>
  <c r="Y21" i="1"/>
  <c r="Z21" i="1" s="1"/>
  <c r="U21" i="1"/>
  <c r="V21" i="1" s="1"/>
  <c r="Q21" i="1"/>
  <c r="R21" i="1" s="1"/>
  <c r="M21" i="1"/>
  <c r="N21" i="1" s="1"/>
  <c r="I21" i="1"/>
  <c r="J21" i="1" s="1"/>
  <c r="F21" i="1"/>
  <c r="Y20" i="1"/>
  <c r="Z20" i="1" s="1"/>
  <c r="U20" i="1"/>
  <c r="V20" i="1" s="1"/>
  <c r="Q20" i="1"/>
  <c r="R20" i="1" s="1"/>
  <c r="M20" i="1"/>
  <c r="N20" i="1" s="1"/>
  <c r="I20" i="1"/>
  <c r="J20" i="1" s="1"/>
  <c r="F20" i="1"/>
  <c r="Y19" i="1"/>
  <c r="Z19" i="1" s="1"/>
  <c r="U19" i="1"/>
  <c r="V19" i="1" s="1"/>
  <c r="Q19" i="1"/>
  <c r="R19" i="1" s="1"/>
  <c r="M19" i="1"/>
  <c r="N19" i="1" s="1"/>
  <c r="I19" i="1"/>
  <c r="H19" i="1" s="1"/>
  <c r="F19" i="1"/>
  <c r="Z18" i="1"/>
  <c r="V18" i="1"/>
  <c r="R18" i="1"/>
  <c r="N18" i="1"/>
  <c r="J18" i="1"/>
  <c r="F18" i="1"/>
  <c r="Z17" i="1"/>
  <c r="V17" i="1"/>
  <c r="R17" i="1"/>
  <c r="N17" i="1"/>
  <c r="J17" i="1"/>
  <c r="F17" i="1"/>
  <c r="Z16" i="1"/>
  <c r="V16" i="1"/>
  <c r="R16" i="1"/>
  <c r="N16" i="1"/>
  <c r="J16" i="1"/>
  <c r="F16" i="1"/>
  <c r="Z15" i="1"/>
  <c r="V15" i="1"/>
  <c r="R15" i="1"/>
  <c r="N15" i="1"/>
  <c r="J15" i="1"/>
  <c r="Y14" i="1"/>
  <c r="Z14" i="1" s="1"/>
  <c r="U14" i="1"/>
  <c r="V14" i="1" s="1"/>
  <c r="Q14" i="1"/>
  <c r="R14" i="1" s="1"/>
  <c r="M14" i="1"/>
  <c r="N14" i="1" s="1"/>
  <c r="I14" i="1"/>
  <c r="J14" i="1" s="1"/>
  <c r="F14" i="1"/>
  <c r="Y13" i="1"/>
  <c r="Z13" i="1" s="1"/>
  <c r="U13" i="1"/>
  <c r="V13" i="1" s="1"/>
  <c r="Q13" i="1"/>
  <c r="R13" i="1" s="1"/>
  <c r="M13" i="1"/>
  <c r="N13" i="1" s="1"/>
  <c r="I13" i="1"/>
  <c r="J13" i="1" s="1"/>
  <c r="F13" i="1"/>
  <c r="Y12" i="1"/>
  <c r="Z12" i="1" s="1"/>
  <c r="U12" i="1"/>
  <c r="V12" i="1" s="1"/>
  <c r="Q12" i="1"/>
  <c r="R12" i="1" s="1"/>
  <c r="M12" i="1"/>
  <c r="N12" i="1" s="1"/>
  <c r="I12" i="1"/>
  <c r="J12" i="1" s="1"/>
  <c r="F12" i="1"/>
  <c r="F5" i="1"/>
  <c r="F6" i="1" s="1"/>
  <c r="R41" i="1" l="1"/>
  <c r="J41" i="1"/>
  <c r="Z41" i="1"/>
  <c r="F41" i="1"/>
  <c r="V41" i="1"/>
  <c r="N41" i="1"/>
  <c r="Z26" i="1"/>
  <c r="J26" i="1"/>
  <c r="D32" i="1"/>
  <c r="F32" i="1" s="1"/>
  <c r="V26" i="1"/>
  <c r="L32" i="1"/>
  <c r="N32" i="1" s="1"/>
  <c r="N26" i="1"/>
  <c r="R26" i="1"/>
  <c r="P32" i="1"/>
  <c r="R32" i="1" s="1"/>
  <c r="F26" i="1"/>
  <c r="F34" i="1" s="1"/>
  <c r="F43" i="1" s="1"/>
  <c r="F45" i="1" s="1"/>
  <c r="T32" i="1"/>
  <c r="V32" i="1" s="1"/>
  <c r="J5" i="1"/>
  <c r="J6" i="1" s="1"/>
  <c r="X32" i="1"/>
  <c r="Z32" i="1" s="1"/>
  <c r="R34" i="1" l="1"/>
  <c r="R43" i="1" s="1"/>
  <c r="R45" i="1" s="1"/>
  <c r="R47" i="1" s="1"/>
  <c r="Z34" i="1"/>
  <c r="Z43" i="1" s="1"/>
  <c r="Z45" i="1" s="1"/>
  <c r="Z47" i="1" s="1"/>
  <c r="N34" i="1"/>
  <c r="N43" i="1" s="1"/>
  <c r="N45" i="1" s="1"/>
  <c r="N47" i="1" s="1"/>
  <c r="V34" i="1"/>
  <c r="V43" i="1" s="1"/>
  <c r="V45" i="1" s="1"/>
  <c r="V47" i="1" s="1"/>
  <c r="F47" i="1"/>
  <c r="H32" i="1"/>
  <c r="J32" i="1" s="1"/>
  <c r="J34" i="1" s="1"/>
  <c r="J43" i="1" s="1"/>
  <c r="J45" i="1" s="1"/>
  <c r="E49" i="1" s="1"/>
  <c r="E57" i="1" s="1"/>
  <c r="J47" i="1" l="1"/>
  <c r="E50" i="1"/>
  <c r="E58" i="1" s="1"/>
  <c r="E53" i="1"/>
  <c r="E61" i="1" s="1"/>
  <c r="E52" i="1"/>
  <c r="E60" i="1" s="1"/>
  <c r="E51" i="1"/>
  <c r="E59" i="1" s="1"/>
</calcChain>
</file>

<file path=xl/sharedStrings.xml><?xml version="1.0" encoding="utf-8"?>
<sst xmlns="http://schemas.openxmlformats.org/spreadsheetml/2006/main" count="124" uniqueCount="71">
  <si>
    <t>2020 Enterprise Budget</t>
  </si>
  <si>
    <t>Peaches, Open Field Costs and Returns for Missouri</t>
  </si>
  <si>
    <t>Year 1-Site Preparation</t>
  </si>
  <si>
    <t>Year 2-Planting Year</t>
  </si>
  <si>
    <t>Years 3 &amp; 4-Growing Years</t>
  </si>
  <si>
    <t>Year 5 First Bearing Year</t>
  </si>
  <si>
    <t>Year 6 Second Bearing Year</t>
  </si>
  <si>
    <t>Year 7 Third Bearing Year</t>
  </si>
  <si>
    <t>Revenues, $/Acre</t>
  </si>
  <si>
    <t>Yield Units</t>
  </si>
  <si>
    <t>Yield</t>
  </si>
  <si>
    <t>Sales Price 
Dollars Per Unit</t>
  </si>
  <si>
    <t>Gross Returns
Dollars Per Acre</t>
  </si>
  <si>
    <t xml:space="preserve">  Fresh Peach Sales</t>
  </si>
  <si>
    <t>bushels</t>
  </si>
  <si>
    <t>Total Revenue</t>
  </si>
  <si>
    <t>Input Units</t>
  </si>
  <si>
    <t>Input Quantity</t>
  </si>
  <si>
    <t>Input Price 
Dollars Per Unit</t>
  </si>
  <si>
    <t>Cost 
Dollars Per Acre</t>
  </si>
  <si>
    <t>Variable Costs, $/Acre</t>
  </si>
  <si>
    <t xml:space="preserve"> Preharvest Costs</t>
  </si>
  <si>
    <t xml:space="preserve">  Peach Trees</t>
  </si>
  <si>
    <t>plants</t>
  </si>
  <si>
    <t xml:space="preserve">  Grass seed</t>
  </si>
  <si>
    <t>pounds</t>
  </si>
  <si>
    <t xml:space="preserve">  Soil test</t>
  </si>
  <si>
    <t>soil test</t>
  </si>
  <si>
    <t xml:space="preserve">  Fertilizer  &amp; Lime</t>
  </si>
  <si>
    <t>acre</t>
  </si>
  <si>
    <t xml:space="preserve">  Herbicide</t>
  </si>
  <si>
    <t xml:space="preserve">  Insecticides</t>
  </si>
  <si>
    <t xml:space="preserve">  Fungicides</t>
  </si>
  <si>
    <t xml:space="preserve">  Drip tape</t>
  </si>
  <si>
    <t>feet</t>
  </si>
  <si>
    <t xml:space="preserve">  Tree Guards</t>
  </si>
  <si>
    <t xml:space="preserve">  Plant analysis kit</t>
  </si>
  <si>
    <t>1 kit</t>
  </si>
  <si>
    <t xml:space="preserve">  Irrigation</t>
  </si>
  <si>
    <t>months</t>
  </si>
  <si>
    <t xml:space="preserve">  Pollination</t>
  </si>
  <si>
    <t xml:space="preserve">  General labor</t>
  </si>
  <si>
    <t>hours</t>
  </si>
  <si>
    <t xml:space="preserve">  Machinery fuel/repair/maintenance</t>
  </si>
  <si>
    <t xml:space="preserve">  Interest on operating capital</t>
  </si>
  <si>
    <t xml:space="preserve"> Harvest Costs</t>
  </si>
  <si>
    <t xml:space="preserve">  Operator Labor</t>
  </si>
  <si>
    <t xml:space="preserve">  Harvest labor</t>
  </si>
  <si>
    <t xml:space="preserve">  Bags</t>
  </si>
  <si>
    <t>containers</t>
  </si>
  <si>
    <t xml:space="preserve">  Marketing Costs</t>
  </si>
  <si>
    <t>10% of gross</t>
  </si>
  <si>
    <t xml:space="preserve">  Refrigeration</t>
  </si>
  <si>
    <t>day</t>
  </si>
  <si>
    <t>Total Variable Costs</t>
  </si>
  <si>
    <t>Fixed Costs</t>
  </si>
  <si>
    <t xml:space="preserve">  Land</t>
  </si>
  <si>
    <t xml:space="preserve">  Fixed Cost on Refrigeration System</t>
  </si>
  <si>
    <t>year</t>
  </si>
  <si>
    <t xml:space="preserve">  Machinery &amp; Equipment</t>
  </si>
  <si>
    <t>Total Fixed Costs</t>
  </si>
  <si>
    <t>Total Costs Including Operator Labor</t>
  </si>
  <si>
    <t>Returns over Total Costs, $/Acre</t>
  </si>
  <si>
    <t>Net Present Value of Net Returns</t>
  </si>
  <si>
    <t xml:space="preserve">  10 Year Orchard (6 years bearing)</t>
  </si>
  <si>
    <t xml:space="preserve">  15 Year Orchard (11 years bearing)</t>
  </si>
  <si>
    <t xml:space="preserve">  20 Year Orchard (16 years bearing)</t>
  </si>
  <si>
    <t xml:space="preserve">  30 Year Patch (26 years bearing)</t>
  </si>
  <si>
    <t>Discount Rate</t>
  </si>
  <si>
    <t>Average Return Per Year (net present value), $/Acre</t>
  </si>
  <si>
    <t xml:space="preserve">  8 years to breakeven (4 years bearing)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</si>
</sst>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i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4" fillId="2" borderId="3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0" borderId="4" xfId="0" applyNumberFormat="1" applyFont="1" applyBorder="1"/>
    <xf numFmtId="165" fontId="3" fillId="0" borderId="0" xfId="0" applyNumberFormat="1" applyFont="1"/>
    <xf numFmtId="0" fontId="5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2" borderId="1" xfId="0" applyFont="1" applyFill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center" wrapText="1"/>
    </xf>
    <xf numFmtId="0" fontId="4" fillId="0" borderId="0" xfId="0" applyFont="1"/>
    <xf numFmtId="164" fontId="3" fillId="0" borderId="0" xfId="0" applyNumberFormat="1" applyFont="1"/>
    <xf numFmtId="0" fontId="6" fillId="0" borderId="0" xfId="0" applyFont="1"/>
    <xf numFmtId="1" fontId="3" fillId="0" borderId="0" xfId="0" applyNumberFormat="1" applyFont="1"/>
    <xf numFmtId="3" fontId="3" fillId="0" borderId="0" xfId="0" applyNumberFormat="1" applyFont="1"/>
    <xf numFmtId="2" fontId="3" fillId="0" borderId="0" xfId="0" applyNumberFormat="1" applyFont="1"/>
    <xf numFmtId="164" fontId="3" fillId="0" borderId="5" xfId="0" applyNumberFormat="1" applyFont="1" applyBorder="1"/>
    <xf numFmtId="0" fontId="4" fillId="0" borderId="3" xfId="0" applyFont="1" applyBorder="1"/>
    <xf numFmtId="0" fontId="4" fillId="0" borderId="6" xfId="0" applyFont="1" applyBorder="1"/>
    <xf numFmtId="0" fontId="3" fillId="0" borderId="6" xfId="0" applyFont="1" applyBorder="1"/>
    <xf numFmtId="164" fontId="3" fillId="0" borderId="6" xfId="0" applyNumberFormat="1" applyFont="1" applyBorder="1"/>
    <xf numFmtId="9" fontId="3" fillId="0" borderId="0" xfId="1" applyFont="1"/>
    <xf numFmtId="0" fontId="3" fillId="0" borderId="0" xfId="0" applyFont="1" applyFill="1"/>
    <xf numFmtId="9" fontId="3" fillId="0" borderId="0" xfId="1" applyFont="1" applyFill="1"/>
    <xf numFmtId="0" fontId="4" fillId="4" borderId="0" xfId="0" applyFont="1" applyFill="1"/>
    <xf numFmtId="0" fontId="3" fillId="4" borderId="0" xfId="0" applyFont="1" applyFill="1"/>
    <xf numFmtId="3" fontId="3" fillId="4" borderId="0" xfId="0" applyNumberFormat="1" applyFont="1" applyFill="1"/>
    <xf numFmtId="164" fontId="3" fillId="4" borderId="0" xfId="0" applyNumberFormat="1" applyFont="1" applyFill="1"/>
    <xf numFmtId="0" fontId="4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006A-43C1-4BAF-A60D-F96BDE02626A}">
  <dimension ref="B1:Z61"/>
  <sheetViews>
    <sheetView tabSelected="1" zoomScaleNormal="100" workbookViewId="0">
      <selection activeCell="B1" sqref="B1"/>
    </sheetView>
  </sheetViews>
  <sheetFormatPr defaultColWidth="9.109375" defaultRowHeight="15.6" x14ac:dyDescent="0.35"/>
  <cols>
    <col min="1" max="1" width="3.109375" style="2" customWidth="1"/>
    <col min="2" max="2" width="38.109375" style="2" customWidth="1"/>
    <col min="3" max="3" width="10.109375" style="2" bestFit="1" customWidth="1"/>
    <col min="4" max="4" width="9.33203125" style="2" customWidth="1"/>
    <col min="5" max="5" width="11.33203125" style="2" customWidth="1"/>
    <col min="6" max="6" width="9.33203125" style="2" customWidth="1"/>
    <col min="7" max="7" width="1.6640625" style="2" customWidth="1"/>
    <col min="8" max="8" width="10.109375" style="2" customWidth="1"/>
    <col min="9" max="9" width="9.33203125" style="2" customWidth="1"/>
    <col min="10" max="10" width="10.88671875" style="2" customWidth="1"/>
    <col min="11" max="11" width="1" style="2" customWidth="1"/>
    <col min="12" max="13" width="9.33203125" style="2" customWidth="1"/>
    <col min="14" max="14" width="10.88671875" style="2" customWidth="1"/>
    <col min="15" max="15" width="1.109375" style="2" customWidth="1"/>
    <col min="16" max="18" width="10.6640625" style="2" customWidth="1"/>
    <col min="19" max="19" width="1.109375" style="2" customWidth="1"/>
    <col min="20" max="22" width="10.6640625" style="2" customWidth="1"/>
    <col min="23" max="23" width="1.109375" style="2" customWidth="1"/>
    <col min="24" max="25" width="10.6640625" style="2" customWidth="1"/>
    <col min="26" max="26" width="11.33203125" style="2" bestFit="1" customWidth="1"/>
    <col min="27" max="16384" width="9.109375" style="2"/>
  </cols>
  <sheetData>
    <row r="1" spans="2:26" ht="17.399999999999999" x14ac:dyDescent="0.4">
      <c r="B1" s="1" t="s">
        <v>0</v>
      </c>
    </row>
    <row r="2" spans="2:26" ht="17.399999999999999" x14ac:dyDescent="0.4">
      <c r="B2" s="1" t="s">
        <v>1</v>
      </c>
    </row>
    <row r="3" spans="2:26" ht="17.399999999999999" x14ac:dyDescent="0.4">
      <c r="B3" s="3"/>
      <c r="C3" s="3"/>
      <c r="D3" s="4" t="s">
        <v>2</v>
      </c>
      <c r="E3" s="5"/>
      <c r="F3" s="5"/>
      <c r="G3" s="14"/>
      <c r="H3" s="4" t="s">
        <v>3</v>
      </c>
      <c r="I3" s="5"/>
      <c r="J3" s="5"/>
      <c r="K3" s="14"/>
      <c r="L3" s="4" t="s">
        <v>4</v>
      </c>
      <c r="M3" s="5"/>
      <c r="N3" s="5"/>
      <c r="O3" s="14"/>
      <c r="P3" s="4" t="s">
        <v>5</v>
      </c>
      <c r="Q3" s="5"/>
      <c r="R3" s="5"/>
      <c r="S3" s="14"/>
      <c r="T3" s="4" t="s">
        <v>6</v>
      </c>
      <c r="U3" s="5"/>
      <c r="V3" s="5"/>
      <c r="W3" s="14"/>
      <c r="X3" s="4" t="s">
        <v>7</v>
      </c>
      <c r="Y3" s="5"/>
      <c r="Z3" s="5"/>
    </row>
    <row r="4" spans="2:26" ht="63" thickBot="1" x14ac:dyDescent="0.4"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8"/>
      <c r="H4" s="7" t="s">
        <v>10</v>
      </c>
      <c r="I4" s="7" t="s">
        <v>11</v>
      </c>
      <c r="J4" s="7" t="s">
        <v>12</v>
      </c>
      <c r="K4" s="8"/>
      <c r="L4" s="7" t="s">
        <v>10</v>
      </c>
      <c r="M4" s="7" t="s">
        <v>11</v>
      </c>
      <c r="N4" s="7" t="s">
        <v>12</v>
      </c>
      <c r="O4" s="8"/>
      <c r="P4" s="7" t="s">
        <v>10</v>
      </c>
      <c r="Q4" s="7" t="s">
        <v>11</v>
      </c>
      <c r="R4" s="7" t="s">
        <v>12</v>
      </c>
      <c r="S4" s="8"/>
      <c r="T4" s="7" t="s">
        <v>10</v>
      </c>
      <c r="U4" s="7" t="s">
        <v>11</v>
      </c>
      <c r="V4" s="7" t="s">
        <v>12</v>
      </c>
      <c r="W4" s="8"/>
      <c r="X4" s="7" t="s">
        <v>10</v>
      </c>
      <c r="Y4" s="7" t="s">
        <v>11</v>
      </c>
      <c r="Z4" s="7" t="s">
        <v>12</v>
      </c>
    </row>
    <row r="5" spans="2:26" x14ac:dyDescent="0.35">
      <c r="B5" s="2" t="s">
        <v>13</v>
      </c>
      <c r="C5" s="2" t="s">
        <v>14</v>
      </c>
      <c r="D5" s="2">
        <v>0</v>
      </c>
      <c r="E5" s="2">
        <v>30</v>
      </c>
      <c r="F5" s="9">
        <f>D5*E5</f>
        <v>0</v>
      </c>
      <c r="H5" s="2">
        <v>0</v>
      </c>
      <c r="I5" s="2">
        <f>$E5</f>
        <v>30</v>
      </c>
      <c r="J5" s="9">
        <f>H5*I5</f>
        <v>0</v>
      </c>
      <c r="L5" s="10">
        <v>0</v>
      </c>
      <c r="M5" s="2">
        <f>$E5</f>
        <v>30</v>
      </c>
      <c r="N5" s="9">
        <f>L5*M5</f>
        <v>0</v>
      </c>
      <c r="P5" s="10">
        <v>100</v>
      </c>
      <c r="Q5" s="2">
        <f>$E5</f>
        <v>30</v>
      </c>
      <c r="R5" s="9">
        <f>P5*Q5</f>
        <v>3000</v>
      </c>
      <c r="T5" s="10">
        <v>200</v>
      </c>
      <c r="U5" s="2">
        <f>$E5</f>
        <v>30</v>
      </c>
      <c r="V5" s="9">
        <f>T5*U5</f>
        <v>6000</v>
      </c>
      <c r="X5" s="10">
        <v>300</v>
      </c>
      <c r="Y5" s="2">
        <f>$E5</f>
        <v>30</v>
      </c>
      <c r="Z5" s="9">
        <f>X5*Y5</f>
        <v>9000</v>
      </c>
    </row>
    <row r="6" spans="2:26" ht="16.2" thickBot="1" x14ac:dyDescent="0.4">
      <c r="B6" s="11" t="s">
        <v>15</v>
      </c>
      <c r="C6" s="12"/>
      <c r="D6" s="12"/>
      <c r="E6" s="12"/>
      <c r="F6" s="13">
        <f>F5</f>
        <v>0</v>
      </c>
      <c r="G6" s="12"/>
      <c r="H6" s="12"/>
      <c r="I6" s="12"/>
      <c r="J6" s="13">
        <f>J5</f>
        <v>0</v>
      </c>
      <c r="K6" s="12"/>
      <c r="L6" s="12"/>
      <c r="M6" s="12"/>
      <c r="N6" s="13">
        <f>N5</f>
        <v>0</v>
      </c>
      <c r="O6" s="12"/>
      <c r="P6" s="12"/>
      <c r="Q6" s="12"/>
      <c r="R6" s="13">
        <f>R5</f>
        <v>3000</v>
      </c>
      <c r="T6" s="12"/>
      <c r="U6" s="12"/>
      <c r="V6" s="13">
        <f>V5</f>
        <v>6000</v>
      </c>
      <c r="X6" s="12"/>
      <c r="Y6" s="12"/>
      <c r="Z6" s="13">
        <f>Z5</f>
        <v>9000</v>
      </c>
    </row>
    <row r="7" spans="2:26" ht="6.75" customHeight="1" x14ac:dyDescent="0.35"/>
    <row r="8" spans="2:26" x14ac:dyDescent="0.35">
      <c r="B8" s="14"/>
      <c r="C8" s="5"/>
      <c r="D8" s="4" t="s">
        <v>2</v>
      </c>
      <c r="E8" s="5"/>
      <c r="F8" s="5"/>
      <c r="G8" s="14"/>
      <c r="H8" s="4" t="s">
        <v>3</v>
      </c>
      <c r="I8" s="5"/>
      <c r="J8" s="5"/>
      <c r="K8" s="14"/>
      <c r="L8" s="4" t="s">
        <v>4</v>
      </c>
      <c r="M8" s="5"/>
      <c r="N8" s="5"/>
      <c r="O8" s="14"/>
      <c r="P8" s="4" t="s">
        <v>5</v>
      </c>
      <c r="Q8" s="5"/>
      <c r="R8" s="5"/>
      <c r="S8" s="14"/>
      <c r="T8" s="4" t="s">
        <v>6</v>
      </c>
      <c r="U8" s="5"/>
      <c r="V8" s="5"/>
      <c r="W8" s="14"/>
      <c r="X8" s="4" t="s">
        <v>7</v>
      </c>
      <c r="Y8" s="5"/>
      <c r="Z8" s="5"/>
    </row>
    <row r="9" spans="2:26" ht="63" thickBot="1" x14ac:dyDescent="0.4">
      <c r="B9" s="15"/>
      <c r="C9" s="16" t="s">
        <v>16</v>
      </c>
      <c r="D9" s="16" t="s">
        <v>17</v>
      </c>
      <c r="E9" s="16" t="s">
        <v>18</v>
      </c>
      <c r="F9" s="16" t="s">
        <v>19</v>
      </c>
      <c r="G9" s="8"/>
      <c r="H9" s="16" t="s">
        <v>17</v>
      </c>
      <c r="I9" s="16" t="s">
        <v>18</v>
      </c>
      <c r="J9" s="16" t="s">
        <v>19</v>
      </c>
      <c r="K9" s="8"/>
      <c r="L9" s="16" t="s">
        <v>17</v>
      </c>
      <c r="M9" s="16" t="s">
        <v>18</v>
      </c>
      <c r="N9" s="16" t="s">
        <v>19</v>
      </c>
      <c r="O9" s="8"/>
      <c r="P9" s="16" t="s">
        <v>17</v>
      </c>
      <c r="Q9" s="16" t="s">
        <v>18</v>
      </c>
      <c r="R9" s="16" t="s">
        <v>19</v>
      </c>
      <c r="S9" s="8"/>
      <c r="T9" s="16" t="s">
        <v>17</v>
      </c>
      <c r="U9" s="16" t="s">
        <v>18</v>
      </c>
      <c r="V9" s="16" t="s">
        <v>19</v>
      </c>
      <c r="W9" s="8"/>
      <c r="X9" s="16" t="s">
        <v>17</v>
      </c>
      <c r="Y9" s="16" t="s">
        <v>18</v>
      </c>
      <c r="Z9" s="16" t="s">
        <v>19</v>
      </c>
    </row>
    <row r="10" spans="2:26" x14ac:dyDescent="0.35">
      <c r="B10" s="17" t="s">
        <v>20</v>
      </c>
    </row>
    <row r="11" spans="2:26" x14ac:dyDescent="0.35">
      <c r="B11" s="32" t="s">
        <v>21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2:26" x14ac:dyDescent="0.35">
      <c r="B12" s="2" t="s">
        <v>22</v>
      </c>
      <c r="C12" s="2" t="s">
        <v>23</v>
      </c>
      <c r="D12" s="2">
        <v>0</v>
      </c>
      <c r="E12" s="29">
        <v>6</v>
      </c>
      <c r="F12" s="18">
        <f t="shared" ref="F12:F13" si="0">D12*E12</f>
        <v>0</v>
      </c>
      <c r="H12" s="2">
        <v>110</v>
      </c>
      <c r="I12" s="2">
        <f>$E12</f>
        <v>6</v>
      </c>
      <c r="J12" s="18">
        <f t="shared" ref="J12:J18" si="1">H12*I12</f>
        <v>660</v>
      </c>
      <c r="L12" s="2">
        <v>0</v>
      </c>
      <c r="M12" s="2">
        <f>$E12</f>
        <v>6</v>
      </c>
      <c r="N12" s="18">
        <f t="shared" ref="N12:N25" si="2">L12*M12</f>
        <v>0</v>
      </c>
      <c r="P12" s="2">
        <v>0</v>
      </c>
      <c r="Q12" s="2">
        <f>$E12</f>
        <v>6</v>
      </c>
      <c r="R12" s="18">
        <f t="shared" ref="R12:R25" si="3">P12*Q12</f>
        <v>0</v>
      </c>
      <c r="T12" s="2">
        <v>0</v>
      </c>
      <c r="U12" s="2">
        <f>$E12</f>
        <v>6</v>
      </c>
      <c r="V12" s="18">
        <f t="shared" ref="V12:V19" si="4">T12*U12</f>
        <v>0</v>
      </c>
      <c r="X12" s="2">
        <v>0</v>
      </c>
      <c r="Y12" s="2">
        <f>$E12</f>
        <v>6</v>
      </c>
      <c r="Z12" s="18">
        <f t="shared" ref="Z12:Z19" si="5">X12*Y12</f>
        <v>0</v>
      </c>
    </row>
    <row r="13" spans="2:26" x14ac:dyDescent="0.35">
      <c r="B13" s="2" t="s">
        <v>24</v>
      </c>
      <c r="C13" s="2" t="s">
        <v>25</v>
      </c>
      <c r="D13" s="2">
        <v>15</v>
      </c>
      <c r="E13" s="29">
        <v>2.56</v>
      </c>
      <c r="F13" s="18">
        <f t="shared" si="0"/>
        <v>38.4</v>
      </c>
      <c r="H13" s="2">
        <v>0</v>
      </c>
      <c r="I13" s="2">
        <f>$E13</f>
        <v>2.56</v>
      </c>
      <c r="J13" s="18">
        <f t="shared" si="1"/>
        <v>0</v>
      </c>
      <c r="L13" s="2">
        <v>0</v>
      </c>
      <c r="M13" s="2">
        <f>$E13</f>
        <v>2.56</v>
      </c>
      <c r="N13" s="18">
        <f t="shared" si="2"/>
        <v>0</v>
      </c>
      <c r="P13" s="2">
        <v>0</v>
      </c>
      <c r="Q13" s="2">
        <f>$E13</f>
        <v>2.56</v>
      </c>
      <c r="R13" s="18">
        <f t="shared" si="3"/>
        <v>0</v>
      </c>
      <c r="T13" s="2">
        <v>0</v>
      </c>
      <c r="U13" s="2">
        <f>$E13</f>
        <v>2.56</v>
      </c>
      <c r="V13" s="18">
        <f t="shared" si="4"/>
        <v>0</v>
      </c>
      <c r="X13" s="2">
        <v>0</v>
      </c>
      <c r="Y13" s="2">
        <f>$E13</f>
        <v>2.56</v>
      </c>
      <c r="Z13" s="18">
        <f t="shared" si="5"/>
        <v>0</v>
      </c>
    </row>
    <row r="14" spans="2:26" x14ac:dyDescent="0.35">
      <c r="B14" s="2" t="s">
        <v>26</v>
      </c>
      <c r="C14" s="2" t="s">
        <v>27</v>
      </c>
      <c r="D14" s="2">
        <v>2</v>
      </c>
      <c r="E14" s="29">
        <v>12.5</v>
      </c>
      <c r="F14" s="18">
        <f>D14*E14</f>
        <v>25</v>
      </c>
      <c r="H14" s="2">
        <v>0</v>
      </c>
      <c r="I14" s="2">
        <f>$E14</f>
        <v>12.5</v>
      </c>
      <c r="J14" s="18">
        <f t="shared" si="1"/>
        <v>0</v>
      </c>
      <c r="L14" s="2">
        <v>0</v>
      </c>
      <c r="M14" s="2">
        <f>$E14</f>
        <v>12.5</v>
      </c>
      <c r="N14" s="18">
        <f t="shared" si="2"/>
        <v>0</v>
      </c>
      <c r="P14" s="2">
        <v>0</v>
      </c>
      <c r="Q14" s="2">
        <f>$E14</f>
        <v>12.5</v>
      </c>
      <c r="R14" s="18">
        <f t="shared" si="3"/>
        <v>0</v>
      </c>
      <c r="T14" s="2">
        <v>0</v>
      </c>
      <c r="U14" s="2">
        <f>$E14</f>
        <v>12.5</v>
      </c>
      <c r="V14" s="18">
        <f t="shared" si="4"/>
        <v>0</v>
      </c>
      <c r="X14" s="2">
        <v>0</v>
      </c>
      <c r="Y14" s="2">
        <f>$E14</f>
        <v>12.5</v>
      </c>
      <c r="Z14" s="18">
        <f t="shared" si="5"/>
        <v>0</v>
      </c>
    </row>
    <row r="15" spans="2:26" x14ac:dyDescent="0.35">
      <c r="B15" s="19" t="s">
        <v>28</v>
      </c>
      <c r="C15" s="2" t="s">
        <v>29</v>
      </c>
      <c r="D15" s="2">
        <v>1</v>
      </c>
      <c r="E15" s="29">
        <v>143.80000000000001</v>
      </c>
      <c r="F15" s="18">
        <v>143.80000000000001</v>
      </c>
      <c r="H15" s="2">
        <v>1</v>
      </c>
      <c r="I15" s="2">
        <v>47.3</v>
      </c>
      <c r="J15" s="18">
        <f t="shared" si="1"/>
        <v>47.3</v>
      </c>
      <c r="L15" s="2">
        <v>1</v>
      </c>
      <c r="M15" s="2">
        <v>87.3</v>
      </c>
      <c r="N15" s="18">
        <f t="shared" si="2"/>
        <v>87.3</v>
      </c>
      <c r="P15" s="2">
        <v>1</v>
      </c>
      <c r="Q15" s="2">
        <v>132</v>
      </c>
      <c r="R15" s="18">
        <f t="shared" si="3"/>
        <v>132</v>
      </c>
      <c r="T15" s="2">
        <v>1</v>
      </c>
      <c r="U15" s="2">
        <v>176</v>
      </c>
      <c r="V15" s="18">
        <f t="shared" si="4"/>
        <v>176</v>
      </c>
      <c r="X15" s="2">
        <v>1</v>
      </c>
      <c r="Y15" s="2">
        <v>220</v>
      </c>
      <c r="Z15" s="18">
        <f t="shared" si="5"/>
        <v>220</v>
      </c>
    </row>
    <row r="16" spans="2:26" x14ac:dyDescent="0.35">
      <c r="B16" s="19" t="s">
        <v>30</v>
      </c>
      <c r="C16" s="2" t="s">
        <v>29</v>
      </c>
      <c r="D16" s="2">
        <v>1</v>
      </c>
      <c r="E16" s="29">
        <v>18</v>
      </c>
      <c r="F16" s="18">
        <f>D16*E16</f>
        <v>18</v>
      </c>
      <c r="H16" s="2">
        <v>1</v>
      </c>
      <c r="I16" s="2">
        <v>93.8</v>
      </c>
      <c r="J16" s="18">
        <f t="shared" si="1"/>
        <v>93.8</v>
      </c>
      <c r="L16" s="2">
        <v>1</v>
      </c>
      <c r="M16" s="2">
        <v>111.9</v>
      </c>
      <c r="N16" s="18">
        <f t="shared" si="2"/>
        <v>111.9</v>
      </c>
      <c r="P16" s="2">
        <v>1</v>
      </c>
      <c r="Q16" s="2">
        <v>124</v>
      </c>
      <c r="R16" s="18">
        <f t="shared" si="3"/>
        <v>124</v>
      </c>
      <c r="T16" s="2">
        <v>1</v>
      </c>
      <c r="U16" s="2">
        <v>124</v>
      </c>
      <c r="V16" s="18">
        <f t="shared" si="4"/>
        <v>124</v>
      </c>
      <c r="X16" s="2">
        <v>1</v>
      </c>
      <c r="Y16" s="2">
        <v>124</v>
      </c>
      <c r="Z16" s="18">
        <f t="shared" si="5"/>
        <v>124</v>
      </c>
    </row>
    <row r="17" spans="2:26" x14ac:dyDescent="0.35">
      <c r="B17" s="19" t="s">
        <v>31</v>
      </c>
      <c r="C17" s="2" t="s">
        <v>29</v>
      </c>
      <c r="D17" s="2">
        <v>0</v>
      </c>
      <c r="E17" s="29">
        <v>0</v>
      </c>
      <c r="F17" s="18">
        <f t="shared" ref="F17:F25" si="6">D17*E17</f>
        <v>0</v>
      </c>
      <c r="H17" s="2">
        <v>1</v>
      </c>
      <c r="I17" s="2">
        <v>54.8</v>
      </c>
      <c r="J17" s="18">
        <f t="shared" si="1"/>
        <v>54.8</v>
      </c>
      <c r="L17" s="2">
        <v>1</v>
      </c>
      <c r="M17" s="2">
        <v>54.8</v>
      </c>
      <c r="N17" s="18">
        <f t="shared" si="2"/>
        <v>54.8</v>
      </c>
      <c r="P17" s="2">
        <v>1</v>
      </c>
      <c r="Q17" s="2">
        <v>184.11</v>
      </c>
      <c r="R17" s="18">
        <f t="shared" si="3"/>
        <v>184.11</v>
      </c>
      <c r="T17" s="2">
        <v>1</v>
      </c>
      <c r="U17" s="2">
        <v>184.11</v>
      </c>
      <c r="V17" s="18">
        <f t="shared" si="4"/>
        <v>184.11</v>
      </c>
      <c r="X17" s="2">
        <v>1</v>
      </c>
      <c r="Y17" s="2">
        <v>184.11</v>
      </c>
      <c r="Z17" s="18">
        <f t="shared" si="5"/>
        <v>184.11</v>
      </c>
    </row>
    <row r="18" spans="2:26" x14ac:dyDescent="0.35">
      <c r="B18" s="19" t="s">
        <v>32</v>
      </c>
      <c r="C18" s="2" t="s">
        <v>29</v>
      </c>
      <c r="D18" s="2">
        <v>0</v>
      </c>
      <c r="E18" s="29">
        <v>0</v>
      </c>
      <c r="F18" s="18">
        <f t="shared" si="6"/>
        <v>0</v>
      </c>
      <c r="H18" s="2">
        <v>1</v>
      </c>
      <c r="I18" s="2">
        <v>70.5</v>
      </c>
      <c r="J18" s="18">
        <f t="shared" si="1"/>
        <v>70.5</v>
      </c>
      <c r="L18" s="2">
        <v>1</v>
      </c>
      <c r="M18" s="2">
        <v>70.5</v>
      </c>
      <c r="N18" s="18">
        <f t="shared" si="2"/>
        <v>70.5</v>
      </c>
      <c r="P18" s="2">
        <v>1</v>
      </c>
      <c r="Q18" s="2">
        <v>349.22</v>
      </c>
      <c r="R18" s="18">
        <f t="shared" si="3"/>
        <v>349.22</v>
      </c>
      <c r="T18" s="2">
        <v>1</v>
      </c>
      <c r="U18" s="2">
        <v>349.22</v>
      </c>
      <c r="V18" s="18">
        <f t="shared" si="4"/>
        <v>349.22</v>
      </c>
      <c r="X18" s="2">
        <v>1</v>
      </c>
      <c r="Y18" s="2">
        <v>349.22</v>
      </c>
      <c r="Z18" s="18">
        <f t="shared" si="5"/>
        <v>349.22</v>
      </c>
    </row>
    <row r="19" spans="2:26" x14ac:dyDescent="0.35">
      <c r="B19" s="2" t="s">
        <v>33</v>
      </c>
      <c r="C19" s="2" t="s">
        <v>34</v>
      </c>
      <c r="D19" s="2">
        <v>0</v>
      </c>
      <c r="E19" s="29">
        <v>3.2000000000000001E-2</v>
      </c>
      <c r="F19" s="18">
        <f t="shared" si="6"/>
        <v>0</v>
      </c>
      <c r="H19" s="20">
        <f>J19/I19</f>
        <v>7749.3749999999991</v>
      </c>
      <c r="I19" s="2">
        <f>$E19</f>
        <v>3.2000000000000001E-2</v>
      </c>
      <c r="J19" s="18">
        <v>247.98</v>
      </c>
      <c r="L19" s="2">
        <v>0</v>
      </c>
      <c r="M19" s="2">
        <f>$E19</f>
        <v>3.2000000000000001E-2</v>
      </c>
      <c r="N19" s="18">
        <f t="shared" si="2"/>
        <v>0</v>
      </c>
      <c r="P19" s="2">
        <v>0</v>
      </c>
      <c r="Q19" s="2">
        <f>$E19</f>
        <v>3.2000000000000001E-2</v>
      </c>
      <c r="R19" s="18">
        <f t="shared" si="3"/>
        <v>0</v>
      </c>
      <c r="T19" s="2">
        <v>0</v>
      </c>
      <c r="U19" s="2">
        <f>$E19</f>
        <v>3.2000000000000001E-2</v>
      </c>
      <c r="V19" s="18">
        <f t="shared" si="4"/>
        <v>0</v>
      </c>
      <c r="X19" s="2">
        <v>0</v>
      </c>
      <c r="Y19" s="2">
        <f>$E19</f>
        <v>3.2000000000000001E-2</v>
      </c>
      <c r="Z19" s="18">
        <f t="shared" si="5"/>
        <v>0</v>
      </c>
    </row>
    <row r="20" spans="2:26" x14ac:dyDescent="0.35">
      <c r="B20" s="2" t="s">
        <v>35</v>
      </c>
      <c r="D20" s="2">
        <v>0</v>
      </c>
      <c r="E20" s="29">
        <v>1.2</v>
      </c>
      <c r="F20" s="18">
        <f>D20*E20</f>
        <v>0</v>
      </c>
      <c r="H20" s="2">
        <v>110</v>
      </c>
      <c r="I20" s="2">
        <f>$E20</f>
        <v>1.2</v>
      </c>
      <c r="J20" s="18">
        <f>H20*I20</f>
        <v>132</v>
      </c>
      <c r="L20" s="2">
        <v>0</v>
      </c>
      <c r="M20" s="2">
        <f>$E20</f>
        <v>1.2</v>
      </c>
      <c r="N20" s="18">
        <f>L20*M20</f>
        <v>0</v>
      </c>
      <c r="P20" s="2">
        <v>0</v>
      </c>
      <c r="Q20" s="2">
        <f>$E20</f>
        <v>1.2</v>
      </c>
      <c r="R20" s="18">
        <f>P20*Q20</f>
        <v>0</v>
      </c>
      <c r="T20" s="2">
        <v>0</v>
      </c>
      <c r="U20" s="2">
        <f>$E20</f>
        <v>1.2</v>
      </c>
      <c r="V20" s="18">
        <f>T20*U20</f>
        <v>0</v>
      </c>
      <c r="X20" s="2">
        <v>0</v>
      </c>
      <c r="Y20" s="2">
        <f>$E20</f>
        <v>1.2</v>
      </c>
      <c r="Z20" s="18">
        <f>X20*Y20</f>
        <v>0</v>
      </c>
    </row>
    <row r="21" spans="2:26" x14ac:dyDescent="0.35">
      <c r="B21" s="2" t="s">
        <v>36</v>
      </c>
      <c r="C21" s="2" t="s">
        <v>37</v>
      </c>
      <c r="D21" s="2">
        <v>0</v>
      </c>
      <c r="E21" s="29">
        <v>30</v>
      </c>
      <c r="F21" s="18">
        <f t="shared" si="6"/>
        <v>0</v>
      </c>
      <c r="H21" s="2">
        <v>0</v>
      </c>
      <c r="I21" s="2">
        <f>$E21</f>
        <v>30</v>
      </c>
      <c r="J21" s="18">
        <f t="shared" ref="J21:J25" si="7">H21*I21</f>
        <v>0</v>
      </c>
      <c r="L21" s="2">
        <v>0</v>
      </c>
      <c r="M21" s="2">
        <f>$E21</f>
        <v>30</v>
      </c>
      <c r="N21" s="18">
        <f t="shared" si="2"/>
        <v>0</v>
      </c>
      <c r="P21" s="2">
        <v>0</v>
      </c>
      <c r="Q21" s="2">
        <f>$E21</f>
        <v>30</v>
      </c>
      <c r="R21" s="18">
        <f t="shared" si="3"/>
        <v>0</v>
      </c>
      <c r="T21" s="2">
        <v>0</v>
      </c>
      <c r="U21" s="2">
        <f>$E21</f>
        <v>30</v>
      </c>
      <c r="V21" s="18">
        <f t="shared" ref="V21:V25" si="8">T21*U21</f>
        <v>0</v>
      </c>
      <c r="X21" s="2">
        <v>0</v>
      </c>
      <c r="Y21" s="2">
        <f>$E21</f>
        <v>30</v>
      </c>
      <c r="Z21" s="18">
        <f t="shared" ref="Z21:Z25" si="9">X21*Y21</f>
        <v>0</v>
      </c>
    </row>
    <row r="22" spans="2:26" x14ac:dyDescent="0.35">
      <c r="B22" s="2" t="s">
        <v>38</v>
      </c>
      <c r="C22" s="2" t="s">
        <v>39</v>
      </c>
      <c r="D22" s="2">
        <v>0</v>
      </c>
      <c r="E22" s="29">
        <v>41.33</v>
      </c>
      <c r="F22" s="18">
        <f t="shared" si="6"/>
        <v>0</v>
      </c>
      <c r="H22" s="2">
        <v>0</v>
      </c>
      <c r="I22" s="2">
        <v>41.33</v>
      </c>
      <c r="J22" s="18">
        <f t="shared" si="7"/>
        <v>0</v>
      </c>
      <c r="L22" s="2">
        <v>0</v>
      </c>
      <c r="M22" s="2">
        <v>41.33</v>
      </c>
      <c r="N22" s="18">
        <f t="shared" si="2"/>
        <v>0</v>
      </c>
      <c r="P22" s="2">
        <v>5</v>
      </c>
      <c r="Q22" s="2">
        <v>41.33</v>
      </c>
      <c r="R22" s="18">
        <f t="shared" si="3"/>
        <v>206.64999999999998</v>
      </c>
      <c r="T22" s="2">
        <v>5</v>
      </c>
      <c r="U22" s="2">
        <v>41.33</v>
      </c>
      <c r="V22" s="18">
        <f t="shared" si="8"/>
        <v>206.64999999999998</v>
      </c>
      <c r="X22" s="2">
        <v>5</v>
      </c>
      <c r="Y22" s="2">
        <v>41.33</v>
      </c>
      <c r="Z22" s="18">
        <f t="shared" si="9"/>
        <v>206.64999999999998</v>
      </c>
    </row>
    <row r="23" spans="2:26" x14ac:dyDescent="0.35">
      <c r="B23" s="2" t="s">
        <v>40</v>
      </c>
      <c r="C23" s="2" t="s">
        <v>39</v>
      </c>
      <c r="D23" s="2">
        <v>0</v>
      </c>
      <c r="E23" s="29">
        <v>100</v>
      </c>
      <c r="F23" s="18">
        <f t="shared" si="6"/>
        <v>0</v>
      </c>
      <c r="H23" s="2">
        <v>0</v>
      </c>
      <c r="I23" s="2">
        <v>100</v>
      </c>
      <c r="J23" s="18">
        <f t="shared" si="7"/>
        <v>0</v>
      </c>
      <c r="L23" s="2">
        <v>0</v>
      </c>
      <c r="M23" s="2">
        <v>100</v>
      </c>
      <c r="N23" s="18">
        <f t="shared" si="2"/>
        <v>0</v>
      </c>
      <c r="P23" s="2">
        <v>1</v>
      </c>
      <c r="Q23" s="2">
        <v>100</v>
      </c>
      <c r="R23" s="18">
        <f t="shared" si="3"/>
        <v>100</v>
      </c>
      <c r="T23" s="2">
        <v>1</v>
      </c>
      <c r="U23" s="2">
        <v>100</v>
      </c>
      <c r="V23" s="18">
        <f t="shared" si="8"/>
        <v>100</v>
      </c>
      <c r="X23" s="2">
        <v>1</v>
      </c>
      <c r="Y23" s="2">
        <v>100</v>
      </c>
      <c r="Z23" s="18">
        <f t="shared" si="9"/>
        <v>100</v>
      </c>
    </row>
    <row r="24" spans="2:26" x14ac:dyDescent="0.35">
      <c r="B24" s="2" t="s">
        <v>41</v>
      </c>
      <c r="C24" s="2" t="s">
        <v>42</v>
      </c>
      <c r="D24" s="2">
        <v>0</v>
      </c>
      <c r="E24" s="29">
        <v>12.5</v>
      </c>
      <c r="F24" s="18">
        <f t="shared" si="6"/>
        <v>0</v>
      </c>
      <c r="H24" s="2">
        <v>20</v>
      </c>
      <c r="I24" s="2">
        <v>12.5</v>
      </c>
      <c r="J24" s="18">
        <f t="shared" si="7"/>
        <v>250</v>
      </c>
      <c r="L24" s="2">
        <v>18</v>
      </c>
      <c r="M24" s="2">
        <v>12.5</v>
      </c>
      <c r="N24" s="18">
        <f t="shared" si="2"/>
        <v>225</v>
      </c>
      <c r="P24" s="2">
        <v>5</v>
      </c>
      <c r="Q24" s="2">
        <v>12.5</v>
      </c>
      <c r="R24" s="18">
        <f t="shared" si="3"/>
        <v>62.5</v>
      </c>
      <c r="T24" s="2">
        <v>5</v>
      </c>
      <c r="U24" s="2">
        <v>12.5</v>
      </c>
      <c r="V24" s="18">
        <f t="shared" si="8"/>
        <v>62.5</v>
      </c>
      <c r="X24" s="2">
        <v>5</v>
      </c>
      <c r="Y24" s="2">
        <v>12.5</v>
      </c>
      <c r="Z24" s="18">
        <f t="shared" si="9"/>
        <v>62.5</v>
      </c>
    </row>
    <row r="25" spans="2:26" x14ac:dyDescent="0.35">
      <c r="B25" s="19" t="s">
        <v>43</v>
      </c>
      <c r="C25" s="2" t="s">
        <v>29</v>
      </c>
      <c r="D25" s="2">
        <v>1</v>
      </c>
      <c r="E25" s="29">
        <v>37.75</v>
      </c>
      <c r="F25" s="18">
        <f t="shared" si="6"/>
        <v>37.75</v>
      </c>
      <c r="H25" s="2">
        <v>1</v>
      </c>
      <c r="I25" s="2">
        <v>89.83</v>
      </c>
      <c r="J25" s="18">
        <f t="shared" si="7"/>
        <v>89.83</v>
      </c>
      <c r="L25" s="2">
        <v>1</v>
      </c>
      <c r="M25" s="2">
        <v>17.34</v>
      </c>
      <c r="N25" s="18">
        <f t="shared" si="2"/>
        <v>17.34</v>
      </c>
      <c r="P25" s="2">
        <v>1</v>
      </c>
      <c r="Q25" s="2">
        <v>33.590000000000003</v>
      </c>
      <c r="R25" s="18">
        <f t="shared" si="3"/>
        <v>33.590000000000003</v>
      </c>
      <c r="T25" s="2">
        <v>1</v>
      </c>
      <c r="U25" s="2">
        <v>33.590000000000003</v>
      </c>
      <c r="V25" s="18">
        <f t="shared" si="8"/>
        <v>33.590000000000003</v>
      </c>
      <c r="X25" s="2">
        <v>1</v>
      </c>
      <c r="Y25" s="2">
        <v>33.590000000000003</v>
      </c>
      <c r="Z25" s="18">
        <f t="shared" si="9"/>
        <v>33.590000000000003</v>
      </c>
    </row>
    <row r="26" spans="2:26" x14ac:dyDescent="0.35">
      <c r="B26" s="2" t="s">
        <v>44</v>
      </c>
      <c r="C26" s="2" t="s">
        <v>39</v>
      </c>
      <c r="D26" s="21">
        <v>6</v>
      </c>
      <c r="E26" s="30">
        <v>0.06</v>
      </c>
      <c r="F26" s="18">
        <f>SUM(F12:F25)*E26*D26/12</f>
        <v>7.8885000000000014</v>
      </c>
      <c r="H26" s="21">
        <v>6</v>
      </c>
      <c r="I26" s="28">
        <f>$E26</f>
        <v>0.06</v>
      </c>
      <c r="J26" s="18">
        <f>SUM(J12:J25)*I26*H26/12</f>
        <v>49.386299999999984</v>
      </c>
      <c r="L26" s="21">
        <v>6</v>
      </c>
      <c r="M26" s="28">
        <f>$E26</f>
        <v>0.06</v>
      </c>
      <c r="N26" s="18">
        <f>SUM(N12:N25)*M26*L26/12</f>
        <v>17.005200000000002</v>
      </c>
      <c r="P26" s="21">
        <v>6</v>
      </c>
      <c r="Q26" s="28">
        <f>$E26</f>
        <v>0.06</v>
      </c>
      <c r="R26" s="18">
        <f>SUM(R12:R25)*Q26*P26/12</f>
        <v>35.762099999999997</v>
      </c>
      <c r="T26" s="21">
        <v>6</v>
      </c>
      <c r="U26" s="28">
        <f>$E26</f>
        <v>0.06</v>
      </c>
      <c r="V26" s="18">
        <f>SUM(V12:V25)*U26*T26/12</f>
        <v>37.082099999999997</v>
      </c>
      <c r="X26" s="21">
        <v>6</v>
      </c>
      <c r="Y26" s="28">
        <f>$E26</f>
        <v>0.06</v>
      </c>
      <c r="Z26" s="18">
        <f>SUM(Z12:Z25)*Y26*X26/12</f>
        <v>38.402099999999997</v>
      </c>
    </row>
    <row r="27" spans="2:26" ht="6.75" customHeight="1" x14ac:dyDescent="0.35">
      <c r="D27" s="21"/>
      <c r="E27" s="29"/>
      <c r="F27" s="18"/>
      <c r="H27" s="21"/>
      <c r="J27" s="18"/>
      <c r="L27" s="21"/>
      <c r="N27" s="18"/>
      <c r="P27" s="21"/>
      <c r="R27" s="18"/>
      <c r="T27" s="21"/>
      <c r="V27" s="18"/>
      <c r="X27" s="21"/>
      <c r="Z27" s="18"/>
    </row>
    <row r="28" spans="2:26" x14ac:dyDescent="0.35">
      <c r="B28" s="32" t="s">
        <v>45</v>
      </c>
      <c r="C28" s="32"/>
      <c r="D28" s="33"/>
      <c r="E28" s="32"/>
      <c r="F28" s="34"/>
      <c r="G28" s="32"/>
      <c r="H28" s="33"/>
      <c r="I28" s="32"/>
      <c r="J28" s="34"/>
      <c r="K28" s="32"/>
      <c r="L28" s="33"/>
      <c r="M28" s="32"/>
      <c r="N28" s="34"/>
      <c r="O28" s="32"/>
      <c r="P28" s="33"/>
      <c r="Q28" s="32"/>
      <c r="R28" s="34"/>
      <c r="S28" s="32"/>
      <c r="T28" s="33"/>
      <c r="U28" s="32"/>
      <c r="V28" s="34"/>
      <c r="W28" s="32"/>
      <c r="X28" s="33"/>
      <c r="Y28" s="32"/>
      <c r="Z28" s="34"/>
    </row>
    <row r="29" spans="2:26" x14ac:dyDescent="0.35">
      <c r="B29" s="2" t="s">
        <v>46</v>
      </c>
      <c r="C29" s="2" t="s">
        <v>42</v>
      </c>
      <c r="D29" s="10">
        <v>2</v>
      </c>
      <c r="E29" s="29">
        <v>15</v>
      </c>
      <c r="F29" s="18">
        <f t="shared" ref="F29:F31" si="10">D29*E29</f>
        <v>30</v>
      </c>
      <c r="H29" s="10">
        <v>11.45</v>
      </c>
      <c r="I29" s="2">
        <f>$E29</f>
        <v>15</v>
      </c>
      <c r="J29" s="18">
        <f t="shared" ref="J29:J31" si="11">H29*I29</f>
        <v>171.75</v>
      </c>
      <c r="L29" s="10">
        <v>12</v>
      </c>
      <c r="M29" s="2">
        <f>$E29</f>
        <v>15</v>
      </c>
      <c r="N29" s="18">
        <f t="shared" ref="N29:N31" si="12">L29*M29</f>
        <v>180</v>
      </c>
      <c r="P29" s="22">
        <v>64.75</v>
      </c>
      <c r="Q29" s="2">
        <f>$E29</f>
        <v>15</v>
      </c>
      <c r="R29" s="18">
        <f t="shared" ref="R29:R31" si="13">P29*Q29</f>
        <v>971.25</v>
      </c>
      <c r="T29" s="10">
        <v>76.75</v>
      </c>
      <c r="U29" s="2">
        <f>$E29</f>
        <v>15</v>
      </c>
      <c r="V29" s="18">
        <f t="shared" ref="V29:V31" si="14">T29*U29</f>
        <v>1151.25</v>
      </c>
      <c r="X29" s="10">
        <v>76.75</v>
      </c>
      <c r="Y29" s="2">
        <f>$E29</f>
        <v>15</v>
      </c>
      <c r="Z29" s="18">
        <f t="shared" ref="Z29:Z31" si="15">X29*Y29</f>
        <v>1151.25</v>
      </c>
    </row>
    <row r="30" spans="2:26" x14ac:dyDescent="0.35">
      <c r="B30" s="2" t="s">
        <v>47</v>
      </c>
      <c r="C30" s="2" t="s">
        <v>42</v>
      </c>
      <c r="D30" s="2">
        <v>0</v>
      </c>
      <c r="E30" s="29">
        <v>12.5</v>
      </c>
      <c r="F30" s="18">
        <f t="shared" si="10"/>
        <v>0</v>
      </c>
      <c r="H30" s="2">
        <v>0</v>
      </c>
      <c r="I30" s="2">
        <f t="shared" ref="I30:I33" si="16">$E30</f>
        <v>12.5</v>
      </c>
      <c r="J30" s="18">
        <f t="shared" si="11"/>
        <v>0</v>
      </c>
      <c r="L30" s="2">
        <v>0</v>
      </c>
      <c r="M30" s="2">
        <f t="shared" ref="M30:M33" si="17">$E30</f>
        <v>12.5</v>
      </c>
      <c r="N30" s="18">
        <f t="shared" si="12"/>
        <v>0</v>
      </c>
      <c r="P30" s="2">
        <v>20</v>
      </c>
      <c r="Q30" s="2">
        <f t="shared" ref="Q30:Q33" si="18">$E30</f>
        <v>12.5</v>
      </c>
      <c r="R30" s="18">
        <f t="shared" si="13"/>
        <v>250</v>
      </c>
      <c r="T30" s="2">
        <v>40</v>
      </c>
      <c r="U30" s="2">
        <f t="shared" ref="U30:U33" si="19">$E30</f>
        <v>12.5</v>
      </c>
      <c r="V30" s="18">
        <f t="shared" si="14"/>
        <v>500</v>
      </c>
      <c r="X30" s="2">
        <v>60</v>
      </c>
      <c r="Y30" s="2">
        <f t="shared" ref="Y30:Y33" si="20">$E30</f>
        <v>12.5</v>
      </c>
      <c r="Z30" s="18">
        <f t="shared" si="15"/>
        <v>750</v>
      </c>
    </row>
    <row r="31" spans="2:26" x14ac:dyDescent="0.35">
      <c r="B31" s="2" t="s">
        <v>48</v>
      </c>
      <c r="C31" s="2" t="s">
        <v>49</v>
      </c>
      <c r="D31" s="20">
        <f>D19*16/12</f>
        <v>0</v>
      </c>
      <c r="E31" s="29">
        <v>6.5000000000000002E-2</v>
      </c>
      <c r="F31" s="18">
        <f t="shared" si="10"/>
        <v>0</v>
      </c>
      <c r="H31" s="20">
        <v>0</v>
      </c>
      <c r="I31" s="2">
        <f t="shared" si="16"/>
        <v>6.5000000000000002E-2</v>
      </c>
      <c r="J31" s="18">
        <f t="shared" si="11"/>
        <v>0</v>
      </c>
      <c r="L31" s="20">
        <f>L19*16/12</f>
        <v>0</v>
      </c>
      <c r="M31" s="2">
        <f t="shared" si="17"/>
        <v>6.5000000000000002E-2</v>
      </c>
      <c r="N31" s="18">
        <f t="shared" si="12"/>
        <v>0</v>
      </c>
      <c r="P31" s="20">
        <v>800</v>
      </c>
      <c r="Q31" s="2">
        <f t="shared" si="18"/>
        <v>6.5000000000000002E-2</v>
      </c>
      <c r="R31" s="18">
        <f t="shared" si="13"/>
        <v>52</v>
      </c>
      <c r="T31" s="20">
        <v>1600</v>
      </c>
      <c r="U31" s="2">
        <f t="shared" si="19"/>
        <v>6.5000000000000002E-2</v>
      </c>
      <c r="V31" s="18">
        <f t="shared" si="14"/>
        <v>104</v>
      </c>
      <c r="X31" s="20">
        <v>2400</v>
      </c>
      <c r="Y31" s="2">
        <f t="shared" si="20"/>
        <v>6.5000000000000002E-2</v>
      </c>
      <c r="Z31" s="18">
        <f t="shared" si="15"/>
        <v>156</v>
      </c>
    </row>
    <row r="32" spans="2:26" x14ac:dyDescent="0.35">
      <c r="B32" s="2" t="s">
        <v>50</v>
      </c>
      <c r="C32" s="2" t="s">
        <v>51</v>
      </c>
      <c r="D32" s="20">
        <f>F6</f>
        <v>0</v>
      </c>
      <c r="E32" s="30">
        <v>0.1</v>
      </c>
      <c r="F32" s="18">
        <f>D32*E32</f>
        <v>0</v>
      </c>
      <c r="H32" s="20">
        <f>J6</f>
        <v>0</v>
      </c>
      <c r="I32" s="28">
        <f t="shared" si="16"/>
        <v>0.1</v>
      </c>
      <c r="J32" s="18">
        <f>H32*I32</f>
        <v>0</v>
      </c>
      <c r="L32" s="20">
        <f>N6</f>
        <v>0</v>
      </c>
      <c r="M32" s="28">
        <f t="shared" si="17"/>
        <v>0.1</v>
      </c>
      <c r="N32" s="18">
        <f>L32*M32</f>
        <v>0</v>
      </c>
      <c r="P32" s="20">
        <f>R6</f>
        <v>3000</v>
      </c>
      <c r="Q32" s="28">
        <f t="shared" si="18"/>
        <v>0.1</v>
      </c>
      <c r="R32" s="18">
        <f>P32*Q32</f>
        <v>300</v>
      </c>
      <c r="T32" s="20">
        <f>V6</f>
        <v>6000</v>
      </c>
      <c r="U32" s="28">
        <f t="shared" si="19"/>
        <v>0.1</v>
      </c>
      <c r="V32" s="18">
        <f>T32*U32</f>
        <v>600</v>
      </c>
      <c r="X32" s="20">
        <f>Z6</f>
        <v>9000</v>
      </c>
      <c r="Y32" s="28">
        <f t="shared" si="20"/>
        <v>0.1</v>
      </c>
      <c r="Z32" s="18">
        <f>X32*Y32</f>
        <v>900</v>
      </c>
    </row>
    <row r="33" spans="2:26" x14ac:dyDescent="0.35">
      <c r="B33" s="2" t="s">
        <v>52</v>
      </c>
      <c r="C33" s="2" t="s">
        <v>53</v>
      </c>
      <c r="D33" s="2">
        <v>0</v>
      </c>
      <c r="E33" s="29">
        <v>1.22</v>
      </c>
      <c r="F33" s="23">
        <f t="shared" ref="F33" si="21">D33*E33</f>
        <v>0</v>
      </c>
      <c r="H33" s="2">
        <v>0</v>
      </c>
      <c r="I33" s="2">
        <f t="shared" si="16"/>
        <v>1.22</v>
      </c>
      <c r="J33" s="23">
        <f t="shared" ref="J33" si="22">H33*I33</f>
        <v>0</v>
      </c>
      <c r="L33" s="2">
        <v>0</v>
      </c>
      <c r="M33" s="2">
        <f t="shared" si="17"/>
        <v>1.22</v>
      </c>
      <c r="N33" s="23">
        <f t="shared" ref="N33" si="23">L33*M33</f>
        <v>0</v>
      </c>
      <c r="P33" s="2">
        <v>30</v>
      </c>
      <c r="Q33" s="2">
        <f t="shared" si="18"/>
        <v>1.22</v>
      </c>
      <c r="R33" s="23">
        <f t="shared" ref="R33" si="24">P33*Q33</f>
        <v>36.6</v>
      </c>
      <c r="T33" s="2">
        <v>30</v>
      </c>
      <c r="U33" s="2">
        <f t="shared" si="19"/>
        <v>1.22</v>
      </c>
      <c r="V33" s="23">
        <f t="shared" ref="V33" si="25">T33*U33</f>
        <v>36.6</v>
      </c>
      <c r="X33" s="2">
        <v>30</v>
      </c>
      <c r="Y33" s="2">
        <f t="shared" si="20"/>
        <v>1.22</v>
      </c>
      <c r="Z33" s="23">
        <f t="shared" ref="Z33" si="26">X33*Y33</f>
        <v>36.6</v>
      </c>
    </row>
    <row r="34" spans="2:26" x14ac:dyDescent="0.35">
      <c r="B34" s="17" t="s">
        <v>54</v>
      </c>
      <c r="D34" s="21"/>
      <c r="E34" s="29"/>
      <c r="F34" s="18">
        <f>SUM(F12:F33)</f>
        <v>300.83850000000007</v>
      </c>
      <c r="H34" s="21"/>
      <c r="J34" s="18">
        <f>SUM(J12:J33)</f>
        <v>1867.3462999999997</v>
      </c>
      <c r="L34" s="21"/>
      <c r="N34" s="18">
        <f>SUM(N12:N33)</f>
        <v>763.84519999999998</v>
      </c>
      <c r="P34" s="21"/>
      <c r="R34" s="18">
        <f>SUM(R12:R33)</f>
        <v>2837.6820999999995</v>
      </c>
      <c r="T34" s="21"/>
      <c r="V34" s="18">
        <f>SUM(V12:V33)</f>
        <v>3665.0021000000002</v>
      </c>
      <c r="X34" s="21"/>
      <c r="Z34" s="18">
        <f>SUM(Z12:Z33)</f>
        <v>4312.3221000000003</v>
      </c>
    </row>
    <row r="35" spans="2:26" ht="6.75" customHeight="1" x14ac:dyDescent="0.35">
      <c r="D35" s="21"/>
      <c r="E35" s="29"/>
      <c r="F35" s="18"/>
      <c r="H35" s="21"/>
      <c r="J35" s="18"/>
      <c r="L35" s="21"/>
      <c r="N35" s="18"/>
      <c r="P35" s="21"/>
      <c r="R35" s="18"/>
      <c r="T35" s="21"/>
      <c r="V35" s="18"/>
      <c r="X35" s="21"/>
      <c r="Z35" s="18"/>
    </row>
    <row r="36" spans="2:26" x14ac:dyDescent="0.35">
      <c r="B36" s="31" t="s">
        <v>55</v>
      </c>
      <c r="C36" s="32"/>
      <c r="D36" s="33"/>
      <c r="E36" s="32"/>
      <c r="F36" s="34"/>
      <c r="G36" s="32"/>
      <c r="H36" s="33"/>
      <c r="I36" s="32"/>
      <c r="J36" s="34"/>
      <c r="K36" s="32"/>
      <c r="L36" s="33"/>
      <c r="M36" s="32"/>
      <c r="N36" s="34"/>
      <c r="O36" s="32"/>
      <c r="P36" s="33"/>
      <c r="Q36" s="32"/>
      <c r="R36" s="34"/>
      <c r="S36" s="32"/>
      <c r="T36" s="33"/>
      <c r="U36" s="32"/>
      <c r="V36" s="34"/>
      <c r="W36" s="32"/>
      <c r="X36" s="33"/>
      <c r="Y36" s="32"/>
      <c r="Z36" s="34"/>
    </row>
    <row r="37" spans="2:26" x14ac:dyDescent="0.35">
      <c r="B37" s="2" t="s">
        <v>56</v>
      </c>
      <c r="C37" s="2" t="s">
        <v>29</v>
      </c>
      <c r="D37" s="2">
        <v>1</v>
      </c>
      <c r="E37" s="29">
        <v>151</v>
      </c>
      <c r="F37" s="18">
        <f t="shared" ref="F37:F40" si="27">D37*E37</f>
        <v>151</v>
      </c>
      <c r="H37" s="2">
        <v>1</v>
      </c>
      <c r="I37" s="2">
        <f t="shared" ref="I37" si="28">$E37</f>
        <v>151</v>
      </c>
      <c r="J37" s="18">
        <f t="shared" ref="J37:J40" si="29">H37*I37</f>
        <v>151</v>
      </c>
      <c r="L37" s="2">
        <v>1</v>
      </c>
      <c r="M37" s="2">
        <f t="shared" ref="M37" si="30">$E37</f>
        <v>151</v>
      </c>
      <c r="N37" s="18">
        <f t="shared" ref="N37:N40" si="31">L37*M37</f>
        <v>151</v>
      </c>
      <c r="P37" s="2">
        <v>1</v>
      </c>
      <c r="Q37" s="2">
        <f t="shared" ref="Q37" si="32">$E37</f>
        <v>151</v>
      </c>
      <c r="R37" s="18">
        <f>P37*Q37</f>
        <v>151</v>
      </c>
      <c r="T37" s="2">
        <v>1</v>
      </c>
      <c r="U37" s="2">
        <f t="shared" ref="U37" si="33">$E37</f>
        <v>151</v>
      </c>
      <c r="V37" s="18">
        <f t="shared" ref="V37:V40" si="34">T37*U37</f>
        <v>151</v>
      </c>
      <c r="X37" s="2">
        <v>1</v>
      </c>
      <c r="Y37" s="2">
        <f t="shared" ref="Y37" si="35">$E37</f>
        <v>151</v>
      </c>
      <c r="Z37" s="18">
        <f t="shared" ref="Z37:Z40" si="36">X37*Y37</f>
        <v>151</v>
      </c>
    </row>
    <row r="38" spans="2:26" x14ac:dyDescent="0.35">
      <c r="B38" s="2" t="s">
        <v>38</v>
      </c>
      <c r="C38" s="2" t="s">
        <v>29</v>
      </c>
      <c r="D38" s="2">
        <v>0</v>
      </c>
      <c r="E38" s="2">
        <v>257.14</v>
      </c>
      <c r="F38" s="18">
        <f t="shared" si="27"/>
        <v>0</v>
      </c>
      <c r="H38" s="2">
        <v>1</v>
      </c>
      <c r="I38" s="2">
        <v>257.14</v>
      </c>
      <c r="J38" s="18">
        <f t="shared" si="29"/>
        <v>257.14</v>
      </c>
      <c r="L38" s="2">
        <v>1</v>
      </c>
      <c r="M38" s="2">
        <v>257.14</v>
      </c>
      <c r="N38" s="18">
        <f t="shared" si="31"/>
        <v>257.14</v>
      </c>
      <c r="P38" s="2">
        <v>1</v>
      </c>
      <c r="Q38" s="2">
        <v>257.14</v>
      </c>
      <c r="R38" s="18">
        <f>P38*Q38</f>
        <v>257.14</v>
      </c>
      <c r="T38" s="2">
        <v>1</v>
      </c>
      <c r="U38" s="2">
        <v>257.14</v>
      </c>
      <c r="V38" s="18">
        <f t="shared" si="34"/>
        <v>257.14</v>
      </c>
      <c r="X38" s="2">
        <v>1</v>
      </c>
      <c r="Y38" s="2">
        <v>257.14</v>
      </c>
      <c r="Z38" s="18">
        <f t="shared" si="36"/>
        <v>257.14</v>
      </c>
    </row>
    <row r="39" spans="2:26" x14ac:dyDescent="0.35">
      <c r="B39" s="2" t="s">
        <v>57</v>
      </c>
      <c r="C39" s="2" t="s">
        <v>58</v>
      </c>
      <c r="D39" s="2">
        <v>0</v>
      </c>
      <c r="E39" s="2">
        <v>550</v>
      </c>
      <c r="F39" s="18">
        <f t="shared" si="27"/>
        <v>0</v>
      </c>
      <c r="H39" s="2">
        <v>0</v>
      </c>
      <c r="I39" s="2">
        <v>550</v>
      </c>
      <c r="J39" s="18">
        <f t="shared" si="29"/>
        <v>0</v>
      </c>
      <c r="L39" s="2">
        <v>0</v>
      </c>
      <c r="M39" s="2">
        <v>550</v>
      </c>
      <c r="N39" s="18">
        <f t="shared" si="31"/>
        <v>0</v>
      </c>
      <c r="P39" s="2">
        <v>1</v>
      </c>
      <c r="Q39" s="2">
        <v>550</v>
      </c>
      <c r="R39" s="18">
        <f>P39*Q39</f>
        <v>550</v>
      </c>
      <c r="T39" s="2">
        <v>1</v>
      </c>
      <c r="U39" s="2">
        <v>550</v>
      </c>
      <c r="V39" s="18">
        <f t="shared" si="34"/>
        <v>550</v>
      </c>
      <c r="X39" s="2">
        <v>1</v>
      </c>
      <c r="Y39" s="2">
        <v>550</v>
      </c>
      <c r="Z39" s="18">
        <f t="shared" si="36"/>
        <v>550</v>
      </c>
    </row>
    <row r="40" spans="2:26" x14ac:dyDescent="0.35">
      <c r="B40" s="2" t="s">
        <v>59</v>
      </c>
      <c r="C40" s="2" t="s">
        <v>29</v>
      </c>
      <c r="D40" s="2">
        <v>1</v>
      </c>
      <c r="E40" s="2">
        <v>34.74</v>
      </c>
      <c r="F40" s="23">
        <f t="shared" si="27"/>
        <v>34.74</v>
      </c>
      <c r="H40" s="2">
        <v>1</v>
      </c>
      <c r="I40" s="2">
        <v>30.11</v>
      </c>
      <c r="J40" s="23">
        <f t="shared" si="29"/>
        <v>30.11</v>
      </c>
      <c r="L40" s="2">
        <v>1</v>
      </c>
      <c r="M40" s="2">
        <v>23.74</v>
      </c>
      <c r="N40" s="23">
        <f t="shared" si="31"/>
        <v>23.74</v>
      </c>
      <c r="P40" s="2">
        <v>1</v>
      </c>
      <c r="Q40" s="2">
        <v>42.85</v>
      </c>
      <c r="R40" s="23">
        <f>P40*Q40</f>
        <v>42.85</v>
      </c>
      <c r="T40" s="2">
        <v>1</v>
      </c>
      <c r="U40" s="2">
        <v>42.85</v>
      </c>
      <c r="V40" s="23">
        <f t="shared" si="34"/>
        <v>42.85</v>
      </c>
      <c r="X40" s="2">
        <v>1</v>
      </c>
      <c r="Y40" s="2">
        <v>42.85</v>
      </c>
      <c r="Z40" s="23">
        <f t="shared" si="36"/>
        <v>42.85</v>
      </c>
    </row>
    <row r="41" spans="2:26" x14ac:dyDescent="0.35">
      <c r="B41" s="17" t="s">
        <v>60</v>
      </c>
      <c r="F41" s="18">
        <f>SUM(F37:F40)</f>
        <v>185.74</v>
      </c>
      <c r="J41" s="18">
        <f>SUM(J37:J40)</f>
        <v>438.25</v>
      </c>
      <c r="N41" s="18">
        <f>SUM(N37:N40)</f>
        <v>431.88</v>
      </c>
      <c r="R41" s="18">
        <f>SUM(R37:R40)</f>
        <v>1000.99</v>
      </c>
      <c r="S41" s="18"/>
      <c r="V41" s="18">
        <f>SUM(V37:V40)</f>
        <v>1000.99</v>
      </c>
      <c r="W41" s="18"/>
      <c r="Z41" s="18">
        <f>SUM(Z37:Z40)</f>
        <v>1000.99</v>
      </c>
    </row>
    <row r="42" spans="2:26" ht="6.75" customHeight="1" x14ac:dyDescent="0.35">
      <c r="F42" s="18"/>
      <c r="J42" s="18"/>
      <c r="N42" s="18"/>
      <c r="R42" s="18"/>
      <c r="V42" s="18"/>
      <c r="Z42" s="18"/>
    </row>
    <row r="43" spans="2:26" ht="16.2" thickBot="1" x14ac:dyDescent="0.4">
      <c r="B43" s="24" t="s">
        <v>61</v>
      </c>
      <c r="C43" s="12"/>
      <c r="D43" s="12"/>
      <c r="E43" s="12"/>
      <c r="F43" s="13">
        <f>F34+F41</f>
        <v>486.57850000000008</v>
      </c>
      <c r="G43" s="12"/>
      <c r="H43" s="12"/>
      <c r="I43" s="12"/>
      <c r="J43" s="13">
        <f>J34+J41</f>
        <v>2305.5962999999997</v>
      </c>
      <c r="K43" s="12"/>
      <c r="L43" s="12"/>
      <c r="M43" s="12"/>
      <c r="N43" s="13">
        <f>N34+N41</f>
        <v>1195.7251999999999</v>
      </c>
      <c r="O43" s="12"/>
      <c r="P43" s="12"/>
      <c r="Q43" s="12"/>
      <c r="R43" s="13">
        <f>R34+R41</f>
        <v>3838.6720999999998</v>
      </c>
      <c r="T43" s="12"/>
      <c r="U43" s="12"/>
      <c r="V43" s="13">
        <f>V34+V41</f>
        <v>4665.9921000000004</v>
      </c>
      <c r="X43" s="12"/>
      <c r="Y43" s="12"/>
      <c r="Z43" s="13">
        <f>Z34+Z41</f>
        <v>5313.3121000000001</v>
      </c>
    </row>
    <row r="44" spans="2:26" ht="6.75" customHeight="1" x14ac:dyDescent="0.35">
      <c r="F44" s="18"/>
    </row>
    <row r="45" spans="2:26" ht="16.2" thickBot="1" x14ac:dyDescent="0.4">
      <c r="B45" s="25" t="s">
        <v>62</v>
      </c>
      <c r="C45" s="26"/>
      <c r="D45" s="26"/>
      <c r="E45" s="26"/>
      <c r="F45" s="27">
        <f>F6-F43</f>
        <v>-486.57850000000008</v>
      </c>
      <c r="G45" s="26"/>
      <c r="H45" s="26"/>
      <c r="I45" s="26"/>
      <c r="J45" s="27">
        <f>J6-J43</f>
        <v>-2305.5962999999997</v>
      </c>
      <c r="K45" s="26"/>
      <c r="L45" s="26"/>
      <c r="M45" s="26"/>
      <c r="N45" s="27">
        <f>N6-N43</f>
        <v>-1195.7251999999999</v>
      </c>
      <c r="O45" s="26"/>
      <c r="P45" s="26"/>
      <c r="Q45" s="26"/>
      <c r="R45" s="27">
        <f>R6-R43</f>
        <v>-838.67209999999977</v>
      </c>
      <c r="S45" s="26"/>
      <c r="T45" s="26"/>
      <c r="U45" s="26"/>
      <c r="V45" s="27">
        <f>V6-V43</f>
        <v>1334.0078999999996</v>
      </c>
      <c r="W45" s="26"/>
      <c r="X45" s="26"/>
      <c r="Y45" s="26"/>
      <c r="Z45" s="27">
        <f>Z6-Z43</f>
        <v>3686.6878999999999</v>
      </c>
    </row>
    <row r="46" spans="2:26" ht="11.25" customHeight="1" thickTop="1" x14ac:dyDescent="0.35">
      <c r="B46" s="35"/>
      <c r="C46" s="36"/>
      <c r="D46" s="36"/>
      <c r="E46" s="36"/>
      <c r="F46" s="37"/>
      <c r="G46" s="36"/>
      <c r="H46" s="36"/>
      <c r="I46" s="36"/>
      <c r="J46" s="37"/>
      <c r="K46" s="36"/>
      <c r="L46" s="36"/>
      <c r="M46" s="36"/>
      <c r="N46" s="37"/>
      <c r="O46" s="36"/>
      <c r="P46" s="36"/>
      <c r="Q46" s="36"/>
      <c r="R46" s="37"/>
      <c r="S46" s="36"/>
      <c r="T46" s="36"/>
      <c r="U46" s="36"/>
      <c r="V46" s="37"/>
      <c r="W46" s="36"/>
      <c r="X46" s="36"/>
      <c r="Y46" s="36"/>
      <c r="Z46" s="37"/>
    </row>
    <row r="47" spans="2:26" x14ac:dyDescent="0.35">
      <c r="F47" s="18">
        <f>F45+F37</f>
        <v>-335.57850000000008</v>
      </c>
      <c r="J47" s="18">
        <f>J45+J37</f>
        <v>-2154.5962999999997</v>
      </c>
      <c r="N47" s="18">
        <f>N45+N37</f>
        <v>-1044.7251999999999</v>
      </c>
      <c r="R47" s="18">
        <f>R45+R37</f>
        <v>-687.67209999999977</v>
      </c>
      <c r="V47" s="18">
        <f>V45+V37</f>
        <v>1485.0078999999996</v>
      </c>
      <c r="Z47" s="18">
        <f>Z45+Z37</f>
        <v>3837.6878999999999</v>
      </c>
    </row>
    <row r="48" spans="2:26" x14ac:dyDescent="0.35">
      <c r="B48" s="2" t="s">
        <v>63</v>
      </c>
    </row>
    <row r="49" spans="2:5" x14ac:dyDescent="0.35">
      <c r="B49" s="2" t="s">
        <v>70</v>
      </c>
      <c r="E49" s="18">
        <f>(F45+J45/(1+C54)+N45/((1+C54)^2)+N45/((1+C54)^3)+R45/(1+C54)^4+V45/(1+C54)^5+Z45/(1+C54)^6+Z45/(1+C54)^7)</f>
        <v>653.55450259559575</v>
      </c>
    </row>
    <row r="50" spans="2:5" x14ac:dyDescent="0.35">
      <c r="B50" s="2" t="s">
        <v>64</v>
      </c>
      <c r="E50" s="18">
        <f>(F45+J45/(1+C54)+N45/((1+C54)^2)+N45/((1+C54)^3)+R45/(1+C54)^4+V45/(1+C54)^5+Z45/(1+C54)^6+Z45/(1+C54)^7+Z45/(1+C54)^8+Z45/(1+C54)^9)</f>
        <v>5148.7730038565478</v>
      </c>
    </row>
    <row r="51" spans="2:5" x14ac:dyDescent="0.35">
      <c r="B51" s="2" t="s">
        <v>65</v>
      </c>
      <c r="E51" s="18">
        <f>(F45+J45/(1+C54)+N45/((1+C54)^2)+N45/((1+C54)^3)+R45/(1+C54)^4+V45/(1+C54)^5+Z45/(1+C54)^6+Z45/(1+C54)^7+Z45/(1+C54)^8+Z45/(1+C54)^9+Z45/(1+C54)^10+Z45/(1+C54)^11+Z45/(1+C54)^12+Z45/(1+C54)^13+Z45/(1+C54)^14)</f>
        <v>14340.761170320924</v>
      </c>
    </row>
    <row r="52" spans="2:5" x14ac:dyDescent="0.35">
      <c r="B52" s="2" t="s">
        <v>66</v>
      </c>
      <c r="E52" s="18">
        <f>(F45+J45/(1+C54)+N45/((1+C54)^2)+N45/((1+C54)^3)+R45/(1+C54)^4+V45/(1+C54)^5+Z45/(1+C54)^6+Z45/(1+C54)^7+Z45/(1+C54)^8+Z45/(1+C54)^9+Z45/(1+C54)^10+Z45/(1+C54)^11+Z45/(1+C54)^12+Z45/(1+C54)^13+Z45/(1+C54)^14+Z45/(1+C54)^15+Z45/(1+C54)^16+Z45/(1+C54)^17+Z45/(1+C54)^18+Z45/(1+C54)^19)</f>
        <v>21209.549452599509</v>
      </c>
    </row>
    <row r="53" spans="2:5" x14ac:dyDescent="0.35">
      <c r="B53" s="2" t="s">
        <v>67</v>
      </c>
      <c r="E53" s="18">
        <f>(F45+J45/(1+C54)+N45/(1+C54)^2+N45/((1+C54)^3)+R45/(1+C54)^4+V45/(1+C54)^5+Z45/(1+C54)^6+Z45/(1+C54)^7+Z45/(1+C54)^8+Z45/(1+C54)^9+Z45/(1+C54)^10+Z45/(1+C54)^11+Z45/(1+C54)^12+Z45/(1+C54)^13+Z45/(1+C54)^14+Z45/(1+C54)^15+Z45/(1+C54)^16+Z45/(1+C54)^17+Z45/(1+C54)^18+Z45/(1+C54)^19+Z45/(1+C54)^20+Z45/(1+C54)^21+Z45/(1+C54)^22+Z45/(1+C54)^23+Z45/(1+C54)^24+Z45/(1+C54)^25+Z45/(1+C54)^26+Z45/(1+C54)^27+Z45/(1+C54)^28+Z45/(1+C54)^29)</f>
        <v>30177.803134778915</v>
      </c>
    </row>
    <row r="54" spans="2:5" x14ac:dyDescent="0.35">
      <c r="B54" s="2" t="s">
        <v>68</v>
      </c>
      <c r="C54" s="28">
        <v>0.06</v>
      </c>
    </row>
    <row r="55" spans="2:5" x14ac:dyDescent="0.35">
      <c r="C55" s="28"/>
    </row>
    <row r="56" spans="2:5" x14ac:dyDescent="0.35">
      <c r="B56" s="2" t="s">
        <v>69</v>
      </c>
      <c r="C56" s="28"/>
    </row>
    <row r="57" spans="2:5" x14ac:dyDescent="0.35">
      <c r="B57" s="2" t="s">
        <v>70</v>
      </c>
      <c r="C57" s="28"/>
      <c r="E57" s="18">
        <f>E49/8</f>
        <v>81.694312824449469</v>
      </c>
    </row>
    <row r="58" spans="2:5" x14ac:dyDescent="0.35">
      <c r="B58" s="2" t="s">
        <v>64</v>
      </c>
      <c r="E58" s="18">
        <f>E50/10</f>
        <v>514.87730038565473</v>
      </c>
    </row>
    <row r="59" spans="2:5" x14ac:dyDescent="0.35">
      <c r="B59" s="2" t="s">
        <v>65</v>
      </c>
      <c r="E59" s="18">
        <f>E51/15</f>
        <v>956.05074468806163</v>
      </c>
    </row>
    <row r="60" spans="2:5" x14ac:dyDescent="0.35">
      <c r="B60" s="2" t="s">
        <v>66</v>
      </c>
      <c r="E60" s="18">
        <f>E52/20</f>
        <v>1060.4774726299754</v>
      </c>
    </row>
    <row r="61" spans="2:5" x14ac:dyDescent="0.35">
      <c r="B61" s="2" t="s">
        <v>67</v>
      </c>
      <c r="E61" s="18">
        <f>E53/30</f>
        <v>1005.9267711592971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2020-07-30T17:30:08Z</dcterms:created>
  <dcterms:modified xsi:type="dcterms:W3CDTF">2021-03-31T20:08:23Z</dcterms:modified>
</cp:coreProperties>
</file>