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8BBEB370-7B26-4ABD-9569-384F66823261}" xr6:coauthVersionLast="46" xr6:coauthVersionMax="46" xr10:uidLastSave="{00000000-0000-0000-0000-000000000000}"/>
  <bookViews>
    <workbookView xWindow="1080" yWindow="1080" windowWidth="9864" windowHeight="11244" xr2:uid="{50691399-9F51-4DAE-88E6-4D51F075FB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1" l="1"/>
  <c r="U35" i="1"/>
  <c r="V35" i="1" s="1"/>
  <c r="V32" i="1"/>
  <c r="V30" i="1"/>
  <c r="V29" i="1"/>
  <c r="V28" i="1"/>
  <c r="U25" i="1"/>
  <c r="V25" i="1" s="1"/>
  <c r="U24" i="1"/>
  <c r="V24" i="1" s="1"/>
  <c r="V22" i="1"/>
  <c r="U21" i="1"/>
  <c r="V21" i="1" s="1"/>
  <c r="V19" i="1"/>
  <c r="U18" i="1"/>
  <c r="V18" i="1" s="1"/>
  <c r="U17" i="1"/>
  <c r="V17" i="1" s="1"/>
  <c r="U15" i="1"/>
  <c r="V15" i="1" s="1"/>
  <c r="U14" i="1"/>
  <c r="V14" i="1" s="1"/>
  <c r="U13" i="1"/>
  <c r="V13" i="1" s="1"/>
  <c r="U11" i="1"/>
  <c r="V11" i="1" s="1"/>
  <c r="U5" i="1"/>
  <c r="V5" i="1" s="1"/>
  <c r="Q15" i="1"/>
  <c r="R15" i="1" s="1"/>
  <c r="M15" i="1"/>
  <c r="N15" i="1" s="1"/>
  <c r="I15" i="1"/>
  <c r="J15" i="1" s="1"/>
  <c r="F15" i="1"/>
  <c r="Q21" i="1"/>
  <c r="M21" i="1"/>
  <c r="I21" i="1"/>
  <c r="V6" i="1" l="1"/>
  <c r="U26" i="1"/>
  <c r="P26" i="1"/>
  <c r="L26" i="1"/>
  <c r="H26" i="1"/>
  <c r="T26" i="1" s="1"/>
  <c r="R32" i="1"/>
  <c r="N32" i="1"/>
  <c r="J32" i="1"/>
  <c r="F32" i="1"/>
  <c r="F22" i="1"/>
  <c r="R21" i="1"/>
  <c r="N21" i="1"/>
  <c r="J21" i="1"/>
  <c r="F21" i="1"/>
  <c r="R19" i="1"/>
  <c r="N19" i="1"/>
  <c r="J19" i="1"/>
  <c r="F19" i="1"/>
  <c r="Q18" i="1"/>
  <c r="R18" i="1" s="1"/>
  <c r="M18" i="1"/>
  <c r="N18" i="1" s="1"/>
  <c r="I18" i="1"/>
  <c r="J18" i="1" s="1"/>
  <c r="F18" i="1"/>
  <c r="Q17" i="1"/>
  <c r="R17" i="1" s="1"/>
  <c r="M17" i="1"/>
  <c r="N17" i="1" s="1"/>
  <c r="I17" i="1"/>
  <c r="J17" i="1" s="1"/>
  <c r="F17" i="1"/>
  <c r="R36" i="1"/>
  <c r="N36" i="1"/>
  <c r="J36" i="1"/>
  <c r="F36" i="1"/>
  <c r="Q35" i="1"/>
  <c r="R35" i="1" s="1"/>
  <c r="M35" i="1"/>
  <c r="N35" i="1" s="1"/>
  <c r="I35" i="1"/>
  <c r="J35" i="1" s="1"/>
  <c r="F35" i="1"/>
  <c r="R30" i="1"/>
  <c r="N30" i="1"/>
  <c r="J30" i="1"/>
  <c r="F30" i="1"/>
  <c r="R29" i="1"/>
  <c r="N29" i="1"/>
  <c r="J29" i="1"/>
  <c r="F29" i="1"/>
  <c r="R28" i="1"/>
  <c r="N28" i="1"/>
  <c r="J28" i="1"/>
  <c r="F28" i="1"/>
  <c r="Q25" i="1"/>
  <c r="R25" i="1" s="1"/>
  <c r="M25" i="1"/>
  <c r="N25" i="1" s="1"/>
  <c r="I25" i="1"/>
  <c r="J25" i="1" s="1"/>
  <c r="Q24" i="1"/>
  <c r="R24" i="1" s="1"/>
  <c r="M24" i="1"/>
  <c r="N24" i="1" s="1"/>
  <c r="I24" i="1"/>
  <c r="J24" i="1" s="1"/>
  <c r="D24" i="1"/>
  <c r="F24" i="1" s="1"/>
  <c r="R22" i="1"/>
  <c r="N22" i="1"/>
  <c r="J22" i="1"/>
  <c r="Q14" i="1"/>
  <c r="R14" i="1" s="1"/>
  <c r="M14" i="1"/>
  <c r="N14" i="1" s="1"/>
  <c r="I14" i="1"/>
  <c r="J14" i="1" s="1"/>
  <c r="F14" i="1"/>
  <c r="Q13" i="1"/>
  <c r="R13" i="1" s="1"/>
  <c r="M13" i="1"/>
  <c r="N13" i="1" s="1"/>
  <c r="I13" i="1"/>
  <c r="J13" i="1" s="1"/>
  <c r="F13" i="1"/>
  <c r="Q11" i="1"/>
  <c r="R11" i="1" s="1"/>
  <c r="M11" i="1"/>
  <c r="N11" i="1" s="1"/>
  <c r="I11" i="1"/>
  <c r="J11" i="1" s="1"/>
  <c r="F11" i="1"/>
  <c r="Q5" i="1"/>
  <c r="R5" i="1" s="1"/>
  <c r="R6" i="1" s="1"/>
  <c r="M5" i="1"/>
  <c r="N5" i="1" s="1"/>
  <c r="N6" i="1" s="1"/>
  <c r="I5" i="1"/>
  <c r="J5" i="1" s="1"/>
  <c r="J6" i="1" s="1"/>
  <c r="F5" i="1"/>
  <c r="F6" i="1" s="1"/>
  <c r="V26" i="1" l="1"/>
  <c r="V33" i="1" s="1"/>
  <c r="V37" i="1" s="1"/>
  <c r="V39" i="1" s="1"/>
  <c r="E26" i="1"/>
  <c r="F26" i="1" s="1"/>
  <c r="I26" i="1"/>
  <c r="J26" i="1" s="1"/>
  <c r="M26" i="1"/>
  <c r="N26" i="1" s="1"/>
  <c r="N33" i="1" s="1"/>
  <c r="N37" i="1" s="1"/>
  <c r="N39" i="1" s="1"/>
  <c r="Q26" i="1"/>
  <c r="R26" i="1" s="1"/>
  <c r="R33" i="1" s="1"/>
  <c r="R37" i="1" s="1"/>
  <c r="R39" i="1" s="1"/>
  <c r="D25" i="1"/>
  <c r="F25" i="1" s="1"/>
  <c r="F33" i="1" s="1"/>
  <c r="F37" i="1" s="1"/>
  <c r="J33" i="1" l="1"/>
  <c r="J37" i="1" s="1"/>
  <c r="J39" i="1" s="1"/>
  <c r="F39" i="1"/>
  <c r="E46" i="1" l="1"/>
  <c r="E52" i="1" s="1"/>
  <c r="E45" i="1"/>
  <c r="E51" i="1" s="1"/>
  <c r="E44" i="1"/>
  <c r="E50" i="1" s="1"/>
</calcChain>
</file>

<file path=xl/sharedStrings.xml><?xml version="1.0" encoding="utf-8"?>
<sst xmlns="http://schemas.openxmlformats.org/spreadsheetml/2006/main" count="102" uniqueCount="63">
  <si>
    <t>2020 Enterprise Budget</t>
  </si>
  <si>
    <t>Year 1-Establishment Year</t>
  </si>
  <si>
    <t>Year 2-First Production Year</t>
  </si>
  <si>
    <t>Year 3-Second Production Year</t>
  </si>
  <si>
    <t>Year 4-Third Production Year</t>
  </si>
  <si>
    <t>Revenues, $/Acre</t>
  </si>
  <si>
    <t>Yield Units</t>
  </si>
  <si>
    <t>Yield</t>
  </si>
  <si>
    <t>Sales Price 
Dollars Per Unit</t>
  </si>
  <si>
    <t>Gross Returns
Dollars Per Acre</t>
  </si>
  <si>
    <t>Total Revenue</t>
  </si>
  <si>
    <t>Variable Costs, $/Acre</t>
  </si>
  <si>
    <t>Input Units</t>
  </si>
  <si>
    <t>Input Quantity</t>
  </si>
  <si>
    <t>Input Price 
Dollars Per Unit</t>
  </si>
  <si>
    <t>Cost 
Dollars Per Acre</t>
  </si>
  <si>
    <t>pounds</t>
  </si>
  <si>
    <t>soil test</t>
  </si>
  <si>
    <t>feet</t>
  </si>
  <si>
    <t xml:space="preserve">  Labor</t>
  </si>
  <si>
    <t>hours</t>
  </si>
  <si>
    <t xml:space="preserve">  Interest on operating capital</t>
  </si>
  <si>
    <t>months</t>
  </si>
  <si>
    <t xml:space="preserve">  Land</t>
  </si>
  <si>
    <t>acre</t>
  </si>
  <si>
    <t xml:space="preserve">  Machinery</t>
  </si>
  <si>
    <t xml:space="preserve">      Total Costs</t>
  </si>
  <si>
    <t>Net Present Value of Net Returns</t>
  </si>
  <si>
    <t>Discount Rate</t>
  </si>
  <si>
    <t>Average Return Per Year, $/Acre</t>
  </si>
  <si>
    <t>Returns over Total Costs</t>
  </si>
  <si>
    <t>each</t>
  </si>
  <si>
    <t xml:space="preserve">  Custom hire</t>
  </si>
  <si>
    <t xml:space="preserve">    Soil test</t>
  </si>
  <si>
    <t xml:space="preserve">    Disking</t>
  </si>
  <si>
    <t>times</t>
  </si>
  <si>
    <t xml:space="preserve">  Fertilizer/lime</t>
  </si>
  <si>
    <t xml:space="preserve">    Nitrogen</t>
  </si>
  <si>
    <t>pound</t>
  </si>
  <si>
    <t xml:space="preserve">    Harvest</t>
  </si>
  <si>
    <t xml:space="preserve">  Repairs and Maintenance</t>
  </si>
  <si>
    <t xml:space="preserve">  Harvest/Marketing</t>
  </si>
  <si>
    <t xml:space="preserve">    Boxes (30#)</t>
  </si>
  <si>
    <t xml:space="preserve">    Bands</t>
  </si>
  <si>
    <t xml:space="preserve">    Marketing (15% of sales)</t>
  </si>
  <si>
    <t xml:space="preserve">  10 Year Stand (9 years producing)</t>
  </si>
  <si>
    <t xml:space="preserve">  15 Year Stand (13 years producing)</t>
  </si>
  <si>
    <t xml:space="preserve">  15 Year Stand (14 years producing)</t>
  </si>
  <si>
    <t>Elderberry Costs and Returns for Missouri</t>
  </si>
  <si>
    <t xml:space="preserve">  Elderberry</t>
  </si>
  <si>
    <t xml:space="preserve">  Cuttings (stems)</t>
  </si>
  <si>
    <t xml:space="preserve">  Bed Preperation</t>
  </si>
  <si>
    <t xml:space="preserve">    Mulch</t>
  </si>
  <si>
    <t xml:space="preserve">    Drip tape</t>
  </si>
  <si>
    <t>cubic yard</t>
  </si>
  <si>
    <t xml:space="preserve">    Compost</t>
  </si>
  <si>
    <t xml:space="preserve">  Herbicide</t>
  </si>
  <si>
    <t xml:space="preserve">    Mowing</t>
  </si>
  <si>
    <t xml:space="preserve">    Planting/Replacing</t>
  </si>
  <si>
    <t xml:space="preserve">    Pruning</t>
  </si>
  <si>
    <t xml:space="preserve">    Tractors &amp; Implements</t>
  </si>
  <si>
    <t xml:space="preserve">  Breakeven 4 Year Stand (3 years producing)</t>
  </si>
  <si>
    <t>Year 5-Fourth Production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</si>
</sst>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i/>
      <sz val="11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3" fillId="2" borderId="2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/>
    </xf>
    <xf numFmtId="0" fontId="3" fillId="2" borderId="1" xfId="0" applyFont="1" applyFill="1" applyBorder="1"/>
    <xf numFmtId="0" fontId="4" fillId="2" borderId="3" xfId="0" applyFont="1" applyFill="1" applyBorder="1"/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/>
    <xf numFmtId="164" fontId="3" fillId="0" borderId="4" xfId="0" applyNumberFormat="1" applyFont="1" applyBorder="1"/>
    <xf numFmtId="165" fontId="3" fillId="0" borderId="0" xfId="0" applyNumberFormat="1" applyFont="1"/>
    <xf numFmtId="0" fontId="5" fillId="0" borderId="3" xfId="0" applyFont="1" applyBorder="1"/>
    <xf numFmtId="0" fontId="3" fillId="0" borderId="3" xfId="0" applyFont="1" applyBorder="1"/>
    <xf numFmtId="164" fontId="3" fillId="0" borderId="3" xfId="0" applyNumberFormat="1" applyFont="1" applyBorder="1"/>
    <xf numFmtId="0" fontId="4" fillId="3" borderId="3" xfId="0" applyFont="1" applyFill="1" applyBorder="1"/>
    <xf numFmtId="0" fontId="3" fillId="3" borderId="3" xfId="0" applyFont="1" applyFill="1" applyBorder="1" applyAlignment="1">
      <alignment horizontal="center" wrapText="1"/>
    </xf>
    <xf numFmtId="164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3" fontId="3" fillId="0" borderId="0" xfId="0" applyNumberFormat="1" applyFont="1"/>
    <xf numFmtId="0" fontId="4" fillId="0" borderId="5" xfId="0" applyFont="1" applyBorder="1"/>
    <xf numFmtId="0" fontId="3" fillId="0" borderId="5" xfId="0" applyFont="1" applyBorder="1"/>
    <xf numFmtId="164" fontId="3" fillId="0" borderId="5" xfId="0" applyNumberFormat="1" applyFont="1" applyBorder="1"/>
    <xf numFmtId="9" fontId="3" fillId="0" borderId="0" xfId="1" applyFont="1"/>
    <xf numFmtId="0" fontId="3" fillId="0" borderId="0" xfId="0" applyFont="1" applyFill="1"/>
    <xf numFmtId="2" fontId="3" fillId="0" borderId="0" xfId="0" applyNumberFormat="1" applyFont="1" applyFill="1"/>
    <xf numFmtId="0" fontId="3" fillId="0" borderId="0" xfId="0" applyFont="1" applyAlignment="1">
      <alignment horizontal="left"/>
    </xf>
    <xf numFmtId="9" fontId="3" fillId="0" borderId="0" xfId="0" applyNumberFormat="1" applyFont="1"/>
    <xf numFmtId="9" fontId="3" fillId="0" borderId="0" xfId="0" applyNumberFormat="1" applyFont="1" applyAlignment="1">
      <alignment horizontal="left"/>
    </xf>
    <xf numFmtId="0" fontId="4" fillId="0" borderId="0" xfId="0" applyFont="1"/>
    <xf numFmtId="9" fontId="3" fillId="0" borderId="0" xfId="1" applyFont="1" applyFill="1"/>
    <xf numFmtId="0" fontId="6" fillId="4" borderId="0" xfId="0" applyFont="1" applyFill="1"/>
    <xf numFmtId="0" fontId="3" fillId="4" borderId="0" xfId="0" applyFont="1" applyFill="1"/>
    <xf numFmtId="164" fontId="3" fillId="4" borderId="0" xfId="0" applyNumberFormat="1" applyFont="1" applyFill="1"/>
    <xf numFmtId="2" fontId="3" fillId="4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64766-5483-41F9-BAE9-B4AA5C1DA5B3}">
  <dimension ref="B1:V52"/>
  <sheetViews>
    <sheetView showGridLines="0" tabSelected="1" workbookViewId="0">
      <selection activeCell="B1" sqref="B1"/>
    </sheetView>
  </sheetViews>
  <sheetFormatPr defaultColWidth="9.109375" defaultRowHeight="15.6" x14ac:dyDescent="0.35"/>
  <cols>
    <col min="1" max="1" width="3.109375" style="2" customWidth="1"/>
    <col min="2" max="2" width="30.88671875" style="2" customWidth="1"/>
    <col min="3" max="3" width="10.109375" style="2" bestFit="1" customWidth="1"/>
    <col min="4" max="4" width="9.33203125" style="2" customWidth="1"/>
    <col min="5" max="5" width="11.33203125" style="2" customWidth="1"/>
    <col min="6" max="6" width="10.88671875" style="2" customWidth="1"/>
    <col min="7" max="7" width="1.6640625" style="2" customWidth="1"/>
    <col min="8" max="9" width="9.33203125" style="2" customWidth="1"/>
    <col min="10" max="10" width="11.33203125" style="2" customWidth="1"/>
    <col min="11" max="11" width="1" style="2" customWidth="1"/>
    <col min="12" max="12" width="9.33203125" style="2" customWidth="1"/>
    <col min="13" max="13" width="10.109375" style="2" customWidth="1"/>
    <col min="14" max="14" width="11.33203125" style="2" customWidth="1"/>
    <col min="15" max="15" width="1.109375" style="2" customWidth="1"/>
    <col min="16" max="17" width="10.6640625" style="2" customWidth="1"/>
    <col min="18" max="18" width="11.33203125" style="2" bestFit="1" customWidth="1"/>
    <col min="19" max="19" width="1.109375" style="2" customWidth="1"/>
    <col min="20" max="21" width="10.6640625" style="2" customWidth="1"/>
    <col min="22" max="22" width="11.33203125" style="2" bestFit="1" customWidth="1"/>
    <col min="23" max="16384" width="9.109375" style="2"/>
  </cols>
  <sheetData>
    <row r="1" spans="2:22" ht="17.399999999999999" x14ac:dyDescent="0.4">
      <c r="B1" s="1" t="s">
        <v>0</v>
      </c>
    </row>
    <row r="2" spans="2:22" ht="17.399999999999999" x14ac:dyDescent="0.4">
      <c r="B2" s="1" t="s">
        <v>48</v>
      </c>
    </row>
    <row r="3" spans="2:22" ht="19.5" customHeight="1" x14ac:dyDescent="0.4">
      <c r="B3" s="3"/>
      <c r="C3" s="3"/>
      <c r="D3" s="4" t="s">
        <v>1</v>
      </c>
      <c r="E3" s="5"/>
      <c r="F3" s="5"/>
      <c r="G3" s="6"/>
      <c r="H3" s="4" t="s">
        <v>2</v>
      </c>
      <c r="I3" s="5"/>
      <c r="J3" s="5"/>
      <c r="K3" s="6"/>
      <c r="L3" s="4" t="s">
        <v>3</v>
      </c>
      <c r="M3" s="5"/>
      <c r="N3" s="5"/>
      <c r="O3" s="6"/>
      <c r="P3" s="4" t="s">
        <v>4</v>
      </c>
      <c r="Q3" s="5"/>
      <c r="R3" s="5"/>
      <c r="S3" s="6"/>
      <c r="T3" s="4" t="s">
        <v>62</v>
      </c>
      <c r="U3" s="5"/>
      <c r="V3" s="5"/>
    </row>
    <row r="4" spans="2:22" ht="63" thickBot="1" x14ac:dyDescent="0.4">
      <c r="B4" s="7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9"/>
      <c r="H4" s="8" t="s">
        <v>7</v>
      </c>
      <c r="I4" s="8" t="s">
        <v>8</v>
      </c>
      <c r="J4" s="8" t="s">
        <v>9</v>
      </c>
      <c r="K4" s="9"/>
      <c r="L4" s="8" t="s">
        <v>7</v>
      </c>
      <c r="M4" s="8" t="s">
        <v>8</v>
      </c>
      <c r="N4" s="8" t="s">
        <v>9</v>
      </c>
      <c r="O4" s="9"/>
      <c r="P4" s="8" t="s">
        <v>7</v>
      </c>
      <c r="Q4" s="8" t="s">
        <v>8</v>
      </c>
      <c r="R4" s="8" t="s">
        <v>9</v>
      </c>
      <c r="S4" s="9"/>
      <c r="T4" s="8" t="s">
        <v>7</v>
      </c>
      <c r="U4" s="8" t="s">
        <v>8</v>
      </c>
      <c r="V4" s="8" t="s">
        <v>9</v>
      </c>
    </row>
    <row r="5" spans="2:22" x14ac:dyDescent="0.35">
      <c r="B5" s="2" t="s">
        <v>49</v>
      </c>
      <c r="C5" s="2" t="s">
        <v>16</v>
      </c>
      <c r="D5" s="2">
        <v>0</v>
      </c>
      <c r="E5" s="25">
        <v>2</v>
      </c>
      <c r="F5" s="10">
        <f>D5*E5</f>
        <v>0</v>
      </c>
      <c r="H5" s="2">
        <v>1000</v>
      </c>
      <c r="I5" s="2">
        <f>$E5</f>
        <v>2</v>
      </c>
      <c r="J5" s="10">
        <f>H5*I5</f>
        <v>2000</v>
      </c>
      <c r="L5" s="11">
        <v>1800</v>
      </c>
      <c r="M5" s="2">
        <f>$E5</f>
        <v>2</v>
      </c>
      <c r="N5" s="10">
        <f>L5*M5</f>
        <v>3600</v>
      </c>
      <c r="P5" s="11">
        <v>4500</v>
      </c>
      <c r="Q5" s="2">
        <f>$E5</f>
        <v>2</v>
      </c>
      <c r="R5" s="10">
        <f>P5*Q5</f>
        <v>9000</v>
      </c>
      <c r="T5" s="11">
        <v>6000</v>
      </c>
      <c r="U5" s="2">
        <f>$E5</f>
        <v>2</v>
      </c>
      <c r="V5" s="10">
        <f>T5*U5</f>
        <v>12000</v>
      </c>
    </row>
    <row r="6" spans="2:22" ht="16.2" thickBot="1" x14ac:dyDescent="0.4">
      <c r="B6" s="12" t="s">
        <v>10</v>
      </c>
      <c r="C6" s="13"/>
      <c r="D6" s="13"/>
      <c r="E6" s="13"/>
      <c r="F6" s="14">
        <f>F5</f>
        <v>0</v>
      </c>
      <c r="G6" s="13"/>
      <c r="H6" s="13"/>
      <c r="I6" s="13"/>
      <c r="J6" s="14">
        <f>J5</f>
        <v>2000</v>
      </c>
      <c r="K6" s="13"/>
      <c r="L6" s="13"/>
      <c r="M6" s="13"/>
      <c r="N6" s="14">
        <f>N5</f>
        <v>3600</v>
      </c>
      <c r="O6" s="13"/>
      <c r="P6" s="13"/>
      <c r="Q6" s="13"/>
      <c r="R6" s="14">
        <f>R5</f>
        <v>9000</v>
      </c>
      <c r="S6" s="13"/>
      <c r="T6" s="13"/>
      <c r="U6" s="13"/>
      <c r="V6" s="14">
        <f>V5</f>
        <v>12000</v>
      </c>
    </row>
    <row r="7" spans="2:22" ht="6.75" customHeight="1" x14ac:dyDescent="0.35"/>
    <row r="8" spans="2:22" x14ac:dyDescent="0.35">
      <c r="B8" s="6"/>
      <c r="C8" s="5"/>
      <c r="D8" s="4" t="s">
        <v>1</v>
      </c>
      <c r="E8" s="5"/>
      <c r="F8" s="5"/>
      <c r="G8" s="6"/>
      <c r="H8" s="4" t="s">
        <v>2</v>
      </c>
      <c r="I8" s="5"/>
      <c r="J8" s="5"/>
      <c r="K8" s="6"/>
      <c r="L8" s="4" t="s">
        <v>3</v>
      </c>
      <c r="M8" s="5"/>
      <c r="N8" s="5"/>
      <c r="O8" s="6"/>
      <c r="P8" s="4" t="s">
        <v>4</v>
      </c>
      <c r="Q8" s="5"/>
      <c r="R8" s="5"/>
      <c r="S8" s="6"/>
      <c r="T8" s="4" t="s">
        <v>62</v>
      </c>
      <c r="U8" s="5"/>
      <c r="V8" s="5"/>
    </row>
    <row r="9" spans="2:22" ht="63" thickBot="1" x14ac:dyDescent="0.4">
      <c r="B9" s="15" t="s">
        <v>11</v>
      </c>
      <c r="C9" s="16" t="s">
        <v>12</v>
      </c>
      <c r="D9" s="16" t="s">
        <v>13</v>
      </c>
      <c r="E9" s="16" t="s">
        <v>14</v>
      </c>
      <c r="F9" s="16" t="s">
        <v>15</v>
      </c>
      <c r="H9" s="16" t="s">
        <v>13</v>
      </c>
      <c r="I9" s="16" t="s">
        <v>14</v>
      </c>
      <c r="J9" s="16" t="s">
        <v>15</v>
      </c>
      <c r="L9" s="16" t="s">
        <v>13</v>
      </c>
      <c r="M9" s="16" t="s">
        <v>14</v>
      </c>
      <c r="N9" s="16" t="s">
        <v>15</v>
      </c>
      <c r="P9" s="16" t="s">
        <v>13</v>
      </c>
      <c r="Q9" s="16" t="s">
        <v>14</v>
      </c>
      <c r="R9" s="16" t="s">
        <v>15</v>
      </c>
      <c r="T9" s="16" t="s">
        <v>13</v>
      </c>
      <c r="U9" s="16" t="s">
        <v>14</v>
      </c>
      <c r="V9" s="16" t="s">
        <v>15</v>
      </c>
    </row>
    <row r="10" spans="2:22" ht="6.75" customHeight="1" x14ac:dyDescent="0.35"/>
    <row r="11" spans="2:22" x14ac:dyDescent="0.35">
      <c r="B11" s="2" t="s">
        <v>50</v>
      </c>
      <c r="C11" s="2" t="s">
        <v>31</v>
      </c>
      <c r="D11" s="2">
        <v>908</v>
      </c>
      <c r="E11" s="25">
        <v>2</v>
      </c>
      <c r="F11" s="17">
        <f t="shared" ref="F11" si="0">D11*E11</f>
        <v>1816</v>
      </c>
      <c r="H11" s="2">
        <v>0</v>
      </c>
      <c r="I11" s="18">
        <f>$E11</f>
        <v>2</v>
      </c>
      <c r="J11" s="17">
        <f t="shared" ref="J11:J22" si="1">H11*I11</f>
        <v>0</v>
      </c>
      <c r="L11" s="2">
        <v>0</v>
      </c>
      <c r="M11" s="18">
        <f>$E11</f>
        <v>2</v>
      </c>
      <c r="N11" s="17">
        <f t="shared" ref="N11:N25" si="2">L11*M11</f>
        <v>0</v>
      </c>
      <c r="P11" s="2">
        <v>0</v>
      </c>
      <c r="Q11" s="18">
        <f>$E11</f>
        <v>2</v>
      </c>
      <c r="R11" s="17">
        <f t="shared" ref="R11:R22" si="3">P11*Q11</f>
        <v>0</v>
      </c>
      <c r="T11" s="2">
        <v>0</v>
      </c>
      <c r="U11" s="18">
        <f>$E11</f>
        <v>2</v>
      </c>
      <c r="V11" s="17">
        <f t="shared" ref="V11" si="4">T11*U11</f>
        <v>0</v>
      </c>
    </row>
    <row r="12" spans="2:22" x14ac:dyDescent="0.35">
      <c r="B12" s="2" t="s">
        <v>32</v>
      </c>
      <c r="E12" s="25"/>
      <c r="F12" s="17"/>
      <c r="I12" s="18"/>
      <c r="J12" s="17"/>
      <c r="M12" s="18"/>
      <c r="N12" s="17"/>
      <c r="Q12" s="18"/>
      <c r="R12" s="17"/>
      <c r="U12" s="18"/>
      <c r="V12" s="17"/>
    </row>
    <row r="13" spans="2:22" x14ac:dyDescent="0.35">
      <c r="B13" s="2" t="s">
        <v>33</v>
      </c>
      <c r="C13" s="2" t="s">
        <v>17</v>
      </c>
      <c r="D13" s="2">
        <v>1</v>
      </c>
      <c r="E13" s="25">
        <v>12.5</v>
      </c>
      <c r="F13" s="17">
        <f>D13*E13</f>
        <v>12.5</v>
      </c>
      <c r="H13" s="2">
        <v>0</v>
      </c>
      <c r="I13" s="18">
        <f t="shared" ref="I13:I18" si="5">$E13</f>
        <v>12.5</v>
      </c>
      <c r="J13" s="17">
        <f t="shared" si="1"/>
        <v>0</v>
      </c>
      <c r="L13" s="2">
        <v>0</v>
      </c>
      <c r="M13" s="18">
        <f t="shared" ref="M13:M18" si="6">$E13</f>
        <v>12.5</v>
      </c>
      <c r="N13" s="17">
        <f t="shared" si="2"/>
        <v>0</v>
      </c>
      <c r="P13" s="2">
        <v>0</v>
      </c>
      <c r="Q13" s="18">
        <f t="shared" ref="Q13:Q18" si="7">$E13</f>
        <v>12.5</v>
      </c>
      <c r="R13" s="17">
        <f t="shared" si="3"/>
        <v>0</v>
      </c>
      <c r="T13" s="2">
        <v>0</v>
      </c>
      <c r="U13" s="18">
        <f t="shared" ref="U13:U18" si="8">$E13</f>
        <v>12.5</v>
      </c>
      <c r="V13" s="17">
        <f t="shared" ref="V13:V15" si="9">T13*U13</f>
        <v>0</v>
      </c>
    </row>
    <row r="14" spans="2:22" x14ac:dyDescent="0.35">
      <c r="B14" s="2" t="s">
        <v>34</v>
      </c>
      <c r="C14" s="2" t="s">
        <v>35</v>
      </c>
      <c r="D14" s="2">
        <v>1</v>
      </c>
      <c r="E14" s="26">
        <v>29</v>
      </c>
      <c r="F14" s="17">
        <f>D14*E14</f>
        <v>29</v>
      </c>
      <c r="H14" s="2">
        <v>0</v>
      </c>
      <c r="I14" s="18">
        <f t="shared" si="5"/>
        <v>29</v>
      </c>
      <c r="J14" s="17">
        <f t="shared" si="1"/>
        <v>0</v>
      </c>
      <c r="L14" s="2">
        <v>0</v>
      </c>
      <c r="M14" s="18">
        <f t="shared" si="6"/>
        <v>29</v>
      </c>
      <c r="N14" s="17">
        <f t="shared" si="2"/>
        <v>0</v>
      </c>
      <c r="P14" s="2">
        <v>0</v>
      </c>
      <c r="Q14" s="18">
        <f t="shared" si="7"/>
        <v>29</v>
      </c>
      <c r="R14" s="17">
        <f t="shared" si="3"/>
        <v>0</v>
      </c>
      <c r="T14" s="2">
        <v>0</v>
      </c>
      <c r="U14" s="18">
        <f t="shared" si="8"/>
        <v>29</v>
      </c>
      <c r="V14" s="17">
        <f t="shared" si="9"/>
        <v>0</v>
      </c>
    </row>
    <row r="15" spans="2:22" x14ac:dyDescent="0.35">
      <c r="B15" s="2" t="s">
        <v>57</v>
      </c>
      <c r="C15" s="2" t="s">
        <v>35</v>
      </c>
      <c r="D15" s="2">
        <v>0</v>
      </c>
      <c r="E15" s="26">
        <v>50</v>
      </c>
      <c r="F15" s="17">
        <f>D15*E15</f>
        <v>0</v>
      </c>
      <c r="H15" s="2">
        <v>1</v>
      </c>
      <c r="I15" s="18">
        <f t="shared" si="5"/>
        <v>50</v>
      </c>
      <c r="J15" s="17">
        <f t="shared" ref="J15" si="10">H15*I15</f>
        <v>50</v>
      </c>
      <c r="L15" s="2">
        <v>1</v>
      </c>
      <c r="M15" s="18">
        <f t="shared" si="6"/>
        <v>50</v>
      </c>
      <c r="N15" s="17">
        <f t="shared" ref="N15" si="11">L15*M15</f>
        <v>50</v>
      </c>
      <c r="P15" s="2">
        <v>1</v>
      </c>
      <c r="Q15" s="18">
        <f t="shared" si="7"/>
        <v>50</v>
      </c>
      <c r="R15" s="17">
        <f t="shared" ref="R15" si="12">P15*Q15</f>
        <v>50</v>
      </c>
      <c r="T15" s="2">
        <v>1</v>
      </c>
      <c r="U15" s="18">
        <f t="shared" si="8"/>
        <v>50</v>
      </c>
      <c r="V15" s="17">
        <f t="shared" si="9"/>
        <v>50</v>
      </c>
    </row>
    <row r="16" spans="2:22" x14ac:dyDescent="0.35">
      <c r="B16" s="32" t="s">
        <v>36</v>
      </c>
      <c r="C16" s="33"/>
      <c r="D16" s="33"/>
      <c r="E16" s="33"/>
      <c r="F16" s="34"/>
      <c r="G16" s="33"/>
      <c r="H16" s="33"/>
      <c r="I16" s="33"/>
      <c r="J16" s="33"/>
      <c r="K16" s="33"/>
      <c r="L16" s="33"/>
      <c r="M16" s="33"/>
      <c r="N16" s="34"/>
      <c r="O16" s="33"/>
      <c r="P16" s="33"/>
      <c r="Q16" s="33"/>
      <c r="R16" s="34"/>
      <c r="S16" s="33"/>
      <c r="T16" s="33"/>
      <c r="U16" s="33"/>
      <c r="V16" s="34"/>
    </row>
    <row r="17" spans="2:22" x14ac:dyDescent="0.35">
      <c r="B17" s="2" t="s">
        <v>37</v>
      </c>
      <c r="C17" s="2" t="s">
        <v>38</v>
      </c>
      <c r="D17" s="2">
        <v>100</v>
      </c>
      <c r="E17" s="25">
        <v>0.31</v>
      </c>
      <c r="F17" s="17">
        <f t="shared" ref="F17:F22" si="13">D17*E17</f>
        <v>31</v>
      </c>
      <c r="H17" s="2">
        <v>0</v>
      </c>
      <c r="I17" s="18">
        <f t="shared" si="5"/>
        <v>0.31</v>
      </c>
      <c r="J17" s="17">
        <f t="shared" ref="J17:J18" si="14">H17*I17</f>
        <v>0</v>
      </c>
      <c r="L17" s="2">
        <v>0</v>
      </c>
      <c r="M17" s="18">
        <f t="shared" si="6"/>
        <v>0.31</v>
      </c>
      <c r="N17" s="17">
        <f t="shared" ref="N17:N18" si="15">L17*M17</f>
        <v>0</v>
      </c>
      <c r="P17" s="2">
        <v>0</v>
      </c>
      <c r="Q17" s="18">
        <f t="shared" si="7"/>
        <v>0.31</v>
      </c>
      <c r="R17" s="17">
        <f t="shared" ref="R17:R18" si="16">P17*Q17</f>
        <v>0</v>
      </c>
      <c r="T17" s="2">
        <v>0</v>
      </c>
      <c r="U17" s="18">
        <f t="shared" si="8"/>
        <v>0.31</v>
      </c>
      <c r="V17" s="17">
        <f t="shared" ref="V17:V19" si="17">T17*U17</f>
        <v>0</v>
      </c>
    </row>
    <row r="18" spans="2:22" x14ac:dyDescent="0.35">
      <c r="B18" s="2" t="s">
        <v>55</v>
      </c>
      <c r="C18" s="2" t="s">
        <v>38</v>
      </c>
      <c r="D18" s="2">
        <v>0</v>
      </c>
      <c r="E18" s="26">
        <v>280</v>
      </c>
      <c r="F18" s="17">
        <f t="shared" si="13"/>
        <v>0</v>
      </c>
      <c r="H18" s="2">
        <v>1</v>
      </c>
      <c r="I18" s="18">
        <f t="shared" si="5"/>
        <v>280</v>
      </c>
      <c r="J18" s="17">
        <f t="shared" si="14"/>
        <v>280</v>
      </c>
      <c r="L18" s="2">
        <v>1</v>
      </c>
      <c r="M18" s="18">
        <f t="shared" si="6"/>
        <v>280</v>
      </c>
      <c r="N18" s="17">
        <f t="shared" si="15"/>
        <v>280</v>
      </c>
      <c r="P18" s="2">
        <v>1</v>
      </c>
      <c r="Q18" s="18">
        <f t="shared" si="7"/>
        <v>280</v>
      </c>
      <c r="R18" s="17">
        <f t="shared" si="16"/>
        <v>280</v>
      </c>
      <c r="T18" s="2">
        <v>1</v>
      </c>
      <c r="U18" s="18">
        <f t="shared" si="8"/>
        <v>280</v>
      </c>
      <c r="V18" s="17">
        <f t="shared" si="17"/>
        <v>280</v>
      </c>
    </row>
    <row r="19" spans="2:22" x14ac:dyDescent="0.35">
      <c r="B19" s="2" t="s">
        <v>56</v>
      </c>
      <c r="C19" s="2" t="s">
        <v>24</v>
      </c>
      <c r="D19" s="2">
        <v>1</v>
      </c>
      <c r="E19" s="26">
        <v>120</v>
      </c>
      <c r="F19" s="17">
        <f t="shared" si="13"/>
        <v>120</v>
      </c>
      <c r="H19" s="2">
        <v>1</v>
      </c>
      <c r="I19" s="18">
        <v>86.24</v>
      </c>
      <c r="J19" s="17">
        <f t="shared" ref="J19:J21" si="18">H19*I19</f>
        <v>86.24</v>
      </c>
      <c r="L19" s="2">
        <v>1</v>
      </c>
      <c r="M19" s="18">
        <v>86.24</v>
      </c>
      <c r="N19" s="17">
        <f t="shared" ref="N19:N21" si="19">L19*M19</f>
        <v>86.24</v>
      </c>
      <c r="P19" s="2">
        <v>1</v>
      </c>
      <c r="Q19" s="18">
        <v>86.24</v>
      </c>
      <c r="R19" s="17">
        <f t="shared" ref="R19:R21" si="20">P19*Q19</f>
        <v>86.24</v>
      </c>
      <c r="T19" s="2">
        <v>1</v>
      </c>
      <c r="U19" s="18">
        <v>86.24</v>
      </c>
      <c r="V19" s="17">
        <f t="shared" si="17"/>
        <v>86.24</v>
      </c>
    </row>
    <row r="20" spans="2:22" x14ac:dyDescent="0.35">
      <c r="B20" s="33" t="s">
        <v>51</v>
      </c>
      <c r="C20" s="33"/>
      <c r="D20" s="33"/>
      <c r="E20" s="35"/>
      <c r="F20" s="34"/>
      <c r="G20" s="33"/>
      <c r="H20" s="33"/>
      <c r="I20" s="35"/>
      <c r="J20" s="34"/>
      <c r="K20" s="33"/>
      <c r="L20" s="33"/>
      <c r="M20" s="35"/>
      <c r="N20" s="34"/>
      <c r="O20" s="33"/>
      <c r="P20" s="33"/>
      <c r="Q20" s="35"/>
      <c r="R20" s="34"/>
      <c r="S20" s="33"/>
      <c r="T20" s="33"/>
      <c r="U20" s="35"/>
      <c r="V20" s="34"/>
    </row>
    <row r="21" spans="2:22" x14ac:dyDescent="0.35">
      <c r="B21" s="2" t="s">
        <v>52</v>
      </c>
      <c r="C21" s="2" t="s">
        <v>54</v>
      </c>
      <c r="D21" s="2">
        <v>30</v>
      </c>
      <c r="E21" s="26">
        <v>20</v>
      </c>
      <c r="F21" s="17">
        <f t="shared" si="13"/>
        <v>600</v>
      </c>
      <c r="H21" s="2">
        <v>0</v>
      </c>
      <c r="I21" s="18">
        <f t="shared" ref="I21" si="21">$E21</f>
        <v>20</v>
      </c>
      <c r="J21" s="17">
        <f t="shared" si="18"/>
        <v>0</v>
      </c>
      <c r="L21" s="2">
        <v>0</v>
      </c>
      <c r="M21" s="18">
        <f t="shared" ref="M21" si="22">$E21</f>
        <v>20</v>
      </c>
      <c r="N21" s="17">
        <f t="shared" si="19"/>
        <v>0</v>
      </c>
      <c r="P21" s="2">
        <v>0</v>
      </c>
      <c r="Q21" s="18">
        <f t="shared" ref="Q21" si="23">$E21</f>
        <v>20</v>
      </c>
      <c r="R21" s="17">
        <f t="shared" si="20"/>
        <v>0</v>
      </c>
      <c r="T21" s="2">
        <v>0</v>
      </c>
      <c r="U21" s="18">
        <f t="shared" ref="U21" si="24">$E21</f>
        <v>20</v>
      </c>
      <c r="V21" s="17">
        <f t="shared" ref="V21:V22" si="25">T21*U21</f>
        <v>0</v>
      </c>
    </row>
    <row r="22" spans="2:22" x14ac:dyDescent="0.35">
      <c r="B22" s="2" t="s">
        <v>53</v>
      </c>
      <c r="C22" s="2" t="s">
        <v>18</v>
      </c>
      <c r="D22" s="2">
        <v>7920</v>
      </c>
      <c r="E22" s="2">
        <v>0.02</v>
      </c>
      <c r="F22" s="17">
        <f t="shared" si="13"/>
        <v>158.4</v>
      </c>
      <c r="H22" s="2">
        <v>0</v>
      </c>
      <c r="I22" s="2">
        <v>0</v>
      </c>
      <c r="J22" s="17">
        <f t="shared" si="1"/>
        <v>0</v>
      </c>
      <c r="L22" s="2">
        <v>0</v>
      </c>
      <c r="M22" s="2">
        <v>0</v>
      </c>
      <c r="N22" s="17">
        <f t="shared" si="2"/>
        <v>0</v>
      </c>
      <c r="P22" s="2">
        <v>0</v>
      </c>
      <c r="Q22" s="2">
        <v>0</v>
      </c>
      <c r="R22" s="17">
        <f t="shared" si="3"/>
        <v>0</v>
      </c>
      <c r="T22" s="2">
        <v>0</v>
      </c>
      <c r="U22" s="2">
        <v>0</v>
      </c>
      <c r="V22" s="17">
        <f t="shared" si="25"/>
        <v>0</v>
      </c>
    </row>
    <row r="23" spans="2:22" x14ac:dyDescent="0.35">
      <c r="B23" s="32" t="s">
        <v>41</v>
      </c>
      <c r="C23" s="33"/>
      <c r="D23" s="33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2:22" x14ac:dyDescent="0.35">
      <c r="B24" s="2" t="s">
        <v>42</v>
      </c>
      <c r="C24" s="2" t="s">
        <v>31</v>
      </c>
      <c r="D24" s="19">
        <f>D5*16/12</f>
        <v>0</v>
      </c>
      <c r="E24" s="26">
        <v>3.45</v>
      </c>
      <c r="F24" s="17">
        <f t="shared" ref="F24:F30" si="26">D24*E24</f>
        <v>0</v>
      </c>
      <c r="H24" s="19">
        <v>17</v>
      </c>
      <c r="I24" s="18">
        <f>$E24</f>
        <v>3.45</v>
      </c>
      <c r="J24" s="17">
        <f t="shared" ref="J24:J25" si="27">H24*I24</f>
        <v>58.650000000000006</v>
      </c>
      <c r="L24" s="19">
        <v>34</v>
      </c>
      <c r="M24" s="18">
        <f>$E24</f>
        <v>3.45</v>
      </c>
      <c r="N24" s="17">
        <f t="shared" si="2"/>
        <v>117.30000000000001</v>
      </c>
      <c r="P24" s="19">
        <v>134</v>
      </c>
      <c r="Q24" s="18">
        <f>$E24</f>
        <v>3.45</v>
      </c>
      <c r="R24" s="17">
        <f t="shared" ref="R24:R30" si="28">P24*Q24</f>
        <v>462.3</v>
      </c>
      <c r="T24" s="19">
        <v>134</v>
      </c>
      <c r="U24" s="18">
        <f>$E24</f>
        <v>3.45</v>
      </c>
      <c r="V24" s="17">
        <f t="shared" ref="V24:V26" si="29">T24*U24</f>
        <v>462.3</v>
      </c>
    </row>
    <row r="25" spans="2:22" x14ac:dyDescent="0.35">
      <c r="B25" s="2" t="s">
        <v>43</v>
      </c>
      <c r="C25" s="27">
        <v>100</v>
      </c>
      <c r="D25" s="19">
        <f>D24/12</f>
        <v>0</v>
      </c>
      <c r="E25" s="26">
        <v>1.4</v>
      </c>
      <c r="F25" s="17">
        <f t="shared" si="26"/>
        <v>0</v>
      </c>
      <c r="H25" s="19">
        <v>5</v>
      </c>
      <c r="I25" s="18">
        <f>$E25</f>
        <v>1.4</v>
      </c>
      <c r="J25" s="17">
        <f t="shared" si="27"/>
        <v>7</v>
      </c>
      <c r="L25" s="19">
        <v>10</v>
      </c>
      <c r="M25" s="18">
        <f>$E25</f>
        <v>1.4</v>
      </c>
      <c r="N25" s="17">
        <f t="shared" si="2"/>
        <v>14</v>
      </c>
      <c r="P25" s="19">
        <v>40</v>
      </c>
      <c r="Q25" s="18">
        <f>$E25</f>
        <v>1.4</v>
      </c>
      <c r="R25" s="17">
        <f t="shared" si="28"/>
        <v>56</v>
      </c>
      <c r="T25" s="19">
        <v>40</v>
      </c>
      <c r="U25" s="18">
        <f>$E25</f>
        <v>1.4</v>
      </c>
      <c r="V25" s="17">
        <f t="shared" si="29"/>
        <v>56</v>
      </c>
    </row>
    <row r="26" spans="2:22" x14ac:dyDescent="0.35">
      <c r="B26" s="2" t="s">
        <v>44</v>
      </c>
      <c r="C26" s="29">
        <v>0.15</v>
      </c>
      <c r="D26" s="28">
        <v>0.15</v>
      </c>
      <c r="E26" s="26">
        <f>F5</f>
        <v>0</v>
      </c>
      <c r="F26" s="17">
        <f t="shared" ref="F26" si="30">D26*E26</f>
        <v>0</v>
      </c>
      <c r="H26" s="28">
        <f>D26</f>
        <v>0.15</v>
      </c>
      <c r="I26" s="18">
        <f>J5</f>
        <v>2000</v>
      </c>
      <c r="J26" s="17">
        <f t="shared" ref="J26" si="31">H26*I26</f>
        <v>300</v>
      </c>
      <c r="L26" s="28">
        <f>D26</f>
        <v>0.15</v>
      </c>
      <c r="M26" s="18">
        <f>N5</f>
        <v>3600</v>
      </c>
      <c r="N26" s="17">
        <f t="shared" ref="N26" si="32">L26*M26</f>
        <v>540</v>
      </c>
      <c r="P26" s="28">
        <f>D26</f>
        <v>0.15</v>
      </c>
      <c r="Q26" s="18">
        <f>R5</f>
        <v>9000</v>
      </c>
      <c r="R26" s="17">
        <f t="shared" ref="R26" si="33">P26*Q26</f>
        <v>1350</v>
      </c>
      <c r="T26" s="28">
        <f>H26</f>
        <v>0.15</v>
      </c>
      <c r="U26" s="18">
        <f>V5</f>
        <v>12000</v>
      </c>
      <c r="V26" s="17">
        <f t="shared" si="29"/>
        <v>1800</v>
      </c>
    </row>
    <row r="27" spans="2:22" x14ac:dyDescent="0.35">
      <c r="B27" s="33" t="s">
        <v>19</v>
      </c>
      <c r="C27" s="33"/>
      <c r="D27" s="33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2:22" x14ac:dyDescent="0.35">
      <c r="B28" s="2" t="s">
        <v>58</v>
      </c>
      <c r="C28" s="2" t="s">
        <v>20</v>
      </c>
      <c r="D28" s="2">
        <v>40</v>
      </c>
      <c r="E28" s="25">
        <v>12.5</v>
      </c>
      <c r="F28" s="17">
        <f t="shared" si="26"/>
        <v>500</v>
      </c>
      <c r="H28" s="2">
        <v>10</v>
      </c>
      <c r="I28" s="25">
        <v>12.5</v>
      </c>
      <c r="J28" s="17">
        <f t="shared" ref="J28:J30" si="34">H28*I28</f>
        <v>125</v>
      </c>
      <c r="L28" s="2">
        <v>2</v>
      </c>
      <c r="M28" s="25">
        <v>12.5</v>
      </c>
      <c r="N28" s="17">
        <f t="shared" ref="N28:N30" si="35">L28*M28</f>
        <v>25</v>
      </c>
      <c r="P28" s="2">
        <v>2</v>
      </c>
      <c r="Q28" s="25">
        <v>12.5</v>
      </c>
      <c r="R28" s="17">
        <f t="shared" si="28"/>
        <v>25</v>
      </c>
      <c r="T28" s="2">
        <v>2</v>
      </c>
      <c r="U28" s="25">
        <v>12.5</v>
      </c>
      <c r="V28" s="17">
        <f t="shared" ref="V28:V30" si="36">T28*U28</f>
        <v>25</v>
      </c>
    </row>
    <row r="29" spans="2:22" x14ac:dyDescent="0.35">
      <c r="B29" s="2" t="s">
        <v>59</v>
      </c>
      <c r="C29" s="2" t="s">
        <v>20</v>
      </c>
      <c r="D29" s="2">
        <v>0</v>
      </c>
      <c r="E29" s="25">
        <v>12.5</v>
      </c>
      <c r="F29" s="17">
        <f t="shared" si="26"/>
        <v>0</v>
      </c>
      <c r="H29" s="2">
        <v>0</v>
      </c>
      <c r="I29" s="25">
        <v>12.5</v>
      </c>
      <c r="J29" s="17">
        <f t="shared" si="34"/>
        <v>0</v>
      </c>
      <c r="L29" s="2">
        <v>20</v>
      </c>
      <c r="M29" s="25">
        <v>12.5</v>
      </c>
      <c r="N29" s="17">
        <f t="shared" si="35"/>
        <v>250</v>
      </c>
      <c r="P29" s="2">
        <v>20</v>
      </c>
      <c r="Q29" s="25">
        <v>12.5</v>
      </c>
      <c r="R29" s="17">
        <f t="shared" si="28"/>
        <v>250</v>
      </c>
      <c r="T29" s="2">
        <v>20</v>
      </c>
      <c r="U29" s="25">
        <v>12.5</v>
      </c>
      <c r="V29" s="17">
        <f t="shared" si="36"/>
        <v>250</v>
      </c>
    </row>
    <row r="30" spans="2:22" x14ac:dyDescent="0.35">
      <c r="B30" s="2" t="s">
        <v>39</v>
      </c>
      <c r="C30" s="2" t="s">
        <v>20</v>
      </c>
      <c r="D30" s="2">
        <v>0</v>
      </c>
      <c r="E30" s="25">
        <v>12.5</v>
      </c>
      <c r="F30" s="17">
        <f t="shared" si="26"/>
        <v>0</v>
      </c>
      <c r="H30" s="2">
        <v>8</v>
      </c>
      <c r="I30" s="25">
        <v>12.5</v>
      </c>
      <c r="J30" s="17">
        <f t="shared" si="34"/>
        <v>100</v>
      </c>
      <c r="L30" s="2">
        <v>36</v>
      </c>
      <c r="M30" s="25">
        <v>12.5</v>
      </c>
      <c r="N30" s="17">
        <f t="shared" si="35"/>
        <v>450</v>
      </c>
      <c r="P30" s="2">
        <v>100</v>
      </c>
      <c r="Q30" s="25">
        <v>12.5</v>
      </c>
      <c r="R30" s="17">
        <f t="shared" si="28"/>
        <v>1250</v>
      </c>
      <c r="T30" s="2">
        <v>100</v>
      </c>
      <c r="U30" s="25">
        <v>12.5</v>
      </c>
      <c r="V30" s="17">
        <f t="shared" si="36"/>
        <v>1250</v>
      </c>
    </row>
    <row r="31" spans="2:22" x14ac:dyDescent="0.35">
      <c r="B31" s="2" t="s">
        <v>40</v>
      </c>
      <c r="E31" s="25"/>
      <c r="F31" s="17"/>
      <c r="I31" s="18"/>
      <c r="J31" s="17"/>
      <c r="M31" s="18"/>
      <c r="N31" s="17"/>
      <c r="Q31" s="18"/>
      <c r="R31" s="17"/>
      <c r="U31" s="18"/>
      <c r="V31" s="17"/>
    </row>
    <row r="32" spans="2:22" x14ac:dyDescent="0.35">
      <c r="B32" s="2" t="s">
        <v>60</v>
      </c>
      <c r="C32" s="2" t="s">
        <v>24</v>
      </c>
      <c r="D32" s="2">
        <v>1</v>
      </c>
      <c r="E32" s="25">
        <v>150</v>
      </c>
      <c r="F32" s="17">
        <f t="shared" ref="F32" si="37">D32*E32</f>
        <v>150</v>
      </c>
      <c r="H32" s="2">
        <v>1</v>
      </c>
      <c r="I32" s="2">
        <v>150</v>
      </c>
      <c r="J32" s="17">
        <f t="shared" ref="J32" si="38">H32*I32</f>
        <v>150</v>
      </c>
      <c r="L32" s="2">
        <v>1</v>
      </c>
      <c r="M32" s="2">
        <v>150</v>
      </c>
      <c r="N32" s="17">
        <f t="shared" ref="N32" si="39">L32*M32</f>
        <v>150</v>
      </c>
      <c r="P32" s="2">
        <v>1</v>
      </c>
      <c r="Q32" s="2">
        <v>150</v>
      </c>
      <c r="R32" s="17">
        <f t="shared" ref="R32" si="40">P32*Q32</f>
        <v>150</v>
      </c>
      <c r="T32" s="2">
        <v>1</v>
      </c>
      <c r="U32" s="2">
        <v>150</v>
      </c>
      <c r="V32" s="17">
        <f t="shared" ref="V32" si="41">T32*U32</f>
        <v>150</v>
      </c>
    </row>
    <row r="33" spans="2:22" x14ac:dyDescent="0.35">
      <c r="B33" s="2" t="s">
        <v>21</v>
      </c>
      <c r="C33" s="2" t="s">
        <v>22</v>
      </c>
      <c r="D33" s="20">
        <v>6</v>
      </c>
      <c r="E33" s="31">
        <v>0.06</v>
      </c>
      <c r="F33" s="17">
        <f>SUM(F11:F30)*E33*D33/12</f>
        <v>98.007000000000005</v>
      </c>
      <c r="H33" s="20">
        <v>6</v>
      </c>
      <c r="I33" s="24">
        <v>0.06</v>
      </c>
      <c r="J33" s="17">
        <f>(SUM(J11:J30)-J24-J25+F37)*I33*H33/12</f>
        <v>144.61100999999999</v>
      </c>
      <c r="L33" s="20">
        <v>6</v>
      </c>
      <c r="M33" s="24">
        <v>0.06</v>
      </c>
      <c r="N33" s="17">
        <f>(SUM(N11:N30)-N24-N25)*M33*L33/12</f>
        <v>50.437199999999997</v>
      </c>
      <c r="P33" s="2">
        <v>6</v>
      </c>
      <c r="Q33" s="24">
        <v>0.06</v>
      </c>
      <c r="R33" s="17">
        <f>(SUM(R11:R30)-R24-R25)*Q33*P33/12</f>
        <v>98.737199999999987</v>
      </c>
      <c r="T33" s="2">
        <v>6</v>
      </c>
      <c r="U33" s="24">
        <v>0.06</v>
      </c>
      <c r="V33" s="17">
        <f>(SUM(V11:V30)-V24-V25)*U33*T33/12</f>
        <v>112.23719999999999</v>
      </c>
    </row>
    <row r="34" spans="2:22" x14ac:dyDescent="0.35">
      <c r="D34" s="20"/>
      <c r="E34" s="25"/>
      <c r="F34" s="17"/>
      <c r="H34" s="20"/>
      <c r="J34" s="17"/>
      <c r="L34" s="20"/>
      <c r="N34" s="17"/>
      <c r="R34" s="17"/>
      <c r="V34" s="17"/>
    </row>
    <row r="35" spans="2:22" x14ac:dyDescent="0.35">
      <c r="B35" s="2" t="s">
        <v>23</v>
      </c>
      <c r="C35" s="2" t="s">
        <v>24</v>
      </c>
      <c r="D35" s="2">
        <v>1</v>
      </c>
      <c r="E35" s="25">
        <v>151</v>
      </c>
      <c r="F35" s="17">
        <f t="shared" ref="F35:F36" si="42">D35*E35</f>
        <v>151</v>
      </c>
      <c r="H35" s="2">
        <v>1</v>
      </c>
      <c r="I35" s="2">
        <f>$E35</f>
        <v>151</v>
      </c>
      <c r="J35" s="17">
        <f t="shared" ref="J35:J36" si="43">H35*I35</f>
        <v>151</v>
      </c>
      <c r="L35" s="2">
        <v>1</v>
      </c>
      <c r="M35" s="2">
        <f>$E35</f>
        <v>151</v>
      </c>
      <c r="N35" s="17">
        <f t="shared" ref="N35:N36" si="44">L35*M35</f>
        <v>151</v>
      </c>
      <c r="P35" s="2">
        <v>1</v>
      </c>
      <c r="Q35" s="2">
        <f>$E35</f>
        <v>151</v>
      </c>
      <c r="R35" s="17">
        <f t="shared" ref="R35:R36" si="45">P35*Q35</f>
        <v>151</v>
      </c>
      <c r="T35" s="2">
        <v>1</v>
      </c>
      <c r="U35" s="2">
        <f>$E35</f>
        <v>151</v>
      </c>
      <c r="V35" s="17">
        <f t="shared" ref="V35:V36" si="46">T35*U35</f>
        <v>151</v>
      </c>
    </row>
    <row r="36" spans="2:22" x14ac:dyDescent="0.35">
      <c r="B36" s="2" t="s">
        <v>25</v>
      </c>
      <c r="C36" s="2" t="s">
        <v>24</v>
      </c>
      <c r="D36" s="2">
        <v>1</v>
      </c>
      <c r="E36" s="2">
        <v>213.22</v>
      </c>
      <c r="F36" s="17">
        <f t="shared" si="42"/>
        <v>213.22</v>
      </c>
      <c r="H36" s="2">
        <v>1</v>
      </c>
      <c r="I36" s="2">
        <v>219.12</v>
      </c>
      <c r="J36" s="17">
        <f t="shared" si="43"/>
        <v>219.12</v>
      </c>
      <c r="L36" s="2">
        <v>1</v>
      </c>
      <c r="M36" s="2">
        <v>216.79</v>
      </c>
      <c r="N36" s="17">
        <f t="shared" si="44"/>
        <v>216.79</v>
      </c>
      <c r="P36" s="2">
        <v>1</v>
      </c>
      <c r="Q36" s="2">
        <v>219.12</v>
      </c>
      <c r="R36" s="17">
        <f t="shared" si="45"/>
        <v>219.12</v>
      </c>
      <c r="T36" s="2">
        <v>1</v>
      </c>
      <c r="U36" s="2">
        <v>219.12</v>
      </c>
      <c r="V36" s="17">
        <f t="shared" si="46"/>
        <v>219.12</v>
      </c>
    </row>
    <row r="37" spans="2:22" ht="16.2" thickBot="1" x14ac:dyDescent="0.4">
      <c r="B37" s="13" t="s">
        <v>26</v>
      </c>
      <c r="C37" s="13"/>
      <c r="D37" s="13"/>
      <c r="E37" s="13"/>
      <c r="F37" s="14">
        <f>SUM(F11:F36)</f>
        <v>3879.127</v>
      </c>
      <c r="G37" s="13"/>
      <c r="H37" s="13"/>
      <c r="I37" s="13"/>
      <c r="J37" s="14">
        <f>SUM(J11:J36)</f>
        <v>1671.6210099999998</v>
      </c>
      <c r="K37" s="13"/>
      <c r="L37" s="13"/>
      <c r="M37" s="13"/>
      <c r="N37" s="14">
        <f>SUM(N11:N36)</f>
        <v>2380.7672000000002</v>
      </c>
      <c r="O37" s="13"/>
      <c r="P37" s="13"/>
      <c r="Q37" s="13"/>
      <c r="R37" s="14">
        <f>SUM(R11:R36)</f>
        <v>4428.3972000000003</v>
      </c>
      <c r="S37" s="13"/>
      <c r="T37" s="13"/>
      <c r="U37" s="13"/>
      <c r="V37" s="14">
        <f>SUM(V11:V36)</f>
        <v>4891.8971999999994</v>
      </c>
    </row>
    <row r="38" spans="2:22" ht="6.75" customHeight="1" x14ac:dyDescent="0.35">
      <c r="F38" s="17"/>
    </row>
    <row r="39" spans="2:22" ht="16.2" thickBot="1" x14ac:dyDescent="0.4">
      <c r="B39" s="21" t="s">
        <v>30</v>
      </c>
      <c r="C39" s="22"/>
      <c r="D39" s="22"/>
      <c r="E39" s="22"/>
      <c r="F39" s="23">
        <f>F6-F37</f>
        <v>-3879.127</v>
      </c>
      <c r="G39" s="22"/>
      <c r="H39" s="22"/>
      <c r="I39" s="22"/>
      <c r="J39" s="23">
        <f>J6-J37</f>
        <v>328.37899000000016</v>
      </c>
      <c r="K39" s="22"/>
      <c r="L39" s="22"/>
      <c r="M39" s="22"/>
      <c r="N39" s="23">
        <f>N6-N37</f>
        <v>1219.2327999999998</v>
      </c>
      <c r="O39" s="22"/>
      <c r="P39" s="22"/>
      <c r="Q39" s="22"/>
      <c r="R39" s="23">
        <f>R6-R37</f>
        <v>4571.6027999999997</v>
      </c>
      <c r="S39" s="22"/>
      <c r="T39" s="22"/>
      <c r="U39" s="22"/>
      <c r="V39" s="23">
        <f>V6-V37</f>
        <v>7108.1028000000006</v>
      </c>
    </row>
    <row r="40" spans="2:22" ht="6" customHeight="1" thickTop="1" x14ac:dyDescent="0.35"/>
    <row r="43" spans="2:22" x14ac:dyDescent="0.35">
      <c r="B43" s="30" t="s">
        <v>27</v>
      </c>
    </row>
    <row r="44" spans="2:22" x14ac:dyDescent="0.35">
      <c r="B44" s="2" t="s">
        <v>61</v>
      </c>
      <c r="E44" s="17">
        <f>(F39+J39/(1+C47)+N39/((1+C47)^2)+R39/((1+C47)^3))</f>
        <v>1354.1832167930561</v>
      </c>
    </row>
    <row r="45" spans="2:22" x14ac:dyDescent="0.35">
      <c r="B45" s="2" t="s">
        <v>45</v>
      </c>
      <c r="E45" s="17">
        <f>(F39+J39/(1+C47)+N39/((1+C47)^2)+R39/((1+C47)^3)+V39/(1+C47)^4+V39/(1+C47)^5+V39/(1+C47)^6+V39/(1+C47)^7+V39/(1+C47)^8+V39/(1+C47)^9)</f>
        <v>30701.267395500159</v>
      </c>
    </row>
    <row r="46" spans="2:22" x14ac:dyDescent="0.35">
      <c r="B46" s="2" t="s">
        <v>46</v>
      </c>
      <c r="E46" s="17">
        <f>(F39+J39/(1+C47)+N39/((1+C47)^2)+R39/((1+C47)^3)+V39/(1+C47)^4+V39/(1+C47)^5+V39/(1+C47)^6+V39/(1+C47)^7+V39/(1+C47)^8+V39/(1+C47)^9+V39/(1+C47)^10+V39/(1+C47)^11+V39/(1+C47)^12+V39/(1+C47)^13+V39/(1+C47)^14)</f>
        <v>48423.840771893731</v>
      </c>
    </row>
    <row r="47" spans="2:22" x14ac:dyDescent="0.35">
      <c r="B47" s="2" t="s">
        <v>28</v>
      </c>
      <c r="C47" s="24">
        <v>0.06</v>
      </c>
    </row>
    <row r="48" spans="2:22" x14ac:dyDescent="0.35">
      <c r="C48" s="24"/>
    </row>
    <row r="49" spans="2:5" x14ac:dyDescent="0.35">
      <c r="B49" s="30" t="s">
        <v>29</v>
      </c>
      <c r="C49" s="24"/>
    </row>
    <row r="50" spans="2:5" x14ac:dyDescent="0.35">
      <c r="B50" s="2" t="s">
        <v>61</v>
      </c>
      <c r="C50" s="24"/>
      <c r="E50" s="17">
        <f>E44/8</f>
        <v>169.27290209913201</v>
      </c>
    </row>
    <row r="51" spans="2:5" x14ac:dyDescent="0.35">
      <c r="B51" s="2" t="s">
        <v>45</v>
      </c>
      <c r="E51" s="17">
        <f>E45/10</f>
        <v>3070.1267395500158</v>
      </c>
    </row>
    <row r="52" spans="2:5" x14ac:dyDescent="0.35">
      <c r="B52" s="2" t="s">
        <v>47</v>
      </c>
      <c r="E52" s="17">
        <f>E46/15</f>
        <v>3228.2560514595821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Kruse</dc:creator>
  <cp:lastModifiedBy>Jackson, Lauren</cp:lastModifiedBy>
  <dcterms:created xsi:type="dcterms:W3CDTF">2020-07-30T17:48:44Z</dcterms:created>
  <dcterms:modified xsi:type="dcterms:W3CDTF">2021-03-31T20:05:40Z</dcterms:modified>
</cp:coreProperties>
</file>