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onLa\Desktop\FruitsandVeggies Project\New spreadsheets March 2021\"/>
    </mc:Choice>
  </mc:AlternateContent>
  <xr:revisionPtr revIDLastSave="0" documentId="13_ncr:1_{EEF56ADC-2792-4B93-A40E-C6CCAF6D06CF}" xr6:coauthVersionLast="46" xr6:coauthVersionMax="46" xr10:uidLastSave="{00000000-0000-0000-0000-000000000000}"/>
  <bookViews>
    <workbookView xWindow="732" yWindow="732" windowWidth="9864" windowHeight="11244" xr2:uid="{50691399-9F51-4DAE-88E6-4D51F075FB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9" i="1" l="1"/>
  <c r="N39" i="1"/>
  <c r="J39" i="1"/>
  <c r="F39" i="1"/>
  <c r="R38" i="1"/>
  <c r="N38" i="1"/>
  <c r="J38" i="1"/>
  <c r="F38" i="1"/>
  <c r="F34" i="1"/>
  <c r="Q36" i="1"/>
  <c r="R36" i="1" s="1"/>
  <c r="M36" i="1"/>
  <c r="N36" i="1" s="1"/>
  <c r="I36" i="1"/>
  <c r="J36" i="1" s="1"/>
  <c r="F36" i="1"/>
  <c r="F26" i="1"/>
  <c r="R25" i="1"/>
  <c r="N25" i="1"/>
  <c r="J25" i="1"/>
  <c r="F25" i="1"/>
  <c r="R24" i="1"/>
  <c r="N24" i="1"/>
  <c r="J24" i="1"/>
  <c r="F24" i="1"/>
  <c r="R23" i="1"/>
  <c r="N23" i="1"/>
  <c r="J23" i="1"/>
  <c r="F23" i="1"/>
  <c r="Q22" i="1"/>
  <c r="R22" i="1" s="1"/>
  <c r="M22" i="1"/>
  <c r="N22" i="1" s="1"/>
  <c r="I22" i="1"/>
  <c r="J22" i="1" s="1"/>
  <c r="F22" i="1"/>
  <c r="Q21" i="1"/>
  <c r="R21" i="1" s="1"/>
  <c r="M21" i="1"/>
  <c r="N21" i="1" s="1"/>
  <c r="I21" i="1"/>
  <c r="J21" i="1" s="1"/>
  <c r="F21" i="1"/>
  <c r="Q20" i="1"/>
  <c r="R20" i="1" s="1"/>
  <c r="M20" i="1"/>
  <c r="N20" i="1" s="1"/>
  <c r="I20" i="1"/>
  <c r="J20" i="1" s="1"/>
  <c r="F20" i="1"/>
  <c r="Q19" i="1"/>
  <c r="R19" i="1" s="1"/>
  <c r="M19" i="1"/>
  <c r="N19" i="1" s="1"/>
  <c r="I19" i="1"/>
  <c r="J19" i="1" s="1"/>
  <c r="F19" i="1"/>
  <c r="Q17" i="1"/>
  <c r="R17" i="1" s="1"/>
  <c r="M17" i="1"/>
  <c r="N17" i="1" s="1"/>
  <c r="I17" i="1"/>
  <c r="J17" i="1" s="1"/>
  <c r="F17" i="1"/>
  <c r="Q16" i="1"/>
  <c r="R16" i="1" s="1"/>
  <c r="M16" i="1"/>
  <c r="N16" i="1" s="1"/>
  <c r="I16" i="1"/>
  <c r="J16" i="1" s="1"/>
  <c r="F16" i="1"/>
  <c r="R44" i="1"/>
  <c r="N44" i="1"/>
  <c r="J44" i="1"/>
  <c r="F44" i="1"/>
  <c r="R43" i="1"/>
  <c r="N43" i="1"/>
  <c r="J43" i="1"/>
  <c r="F43" i="1"/>
  <c r="Q42" i="1"/>
  <c r="R42" i="1" s="1"/>
  <c r="M42" i="1"/>
  <c r="N42" i="1" s="1"/>
  <c r="I42" i="1"/>
  <c r="J42" i="1" s="1"/>
  <c r="F42" i="1"/>
  <c r="R35" i="1"/>
  <c r="N35" i="1"/>
  <c r="J35" i="1"/>
  <c r="F35" i="1"/>
  <c r="R34" i="1"/>
  <c r="N34" i="1"/>
  <c r="J34" i="1"/>
  <c r="R33" i="1"/>
  <c r="N33" i="1"/>
  <c r="J33" i="1"/>
  <c r="F33" i="1"/>
  <c r="R32" i="1"/>
  <c r="N32" i="1"/>
  <c r="J32" i="1"/>
  <c r="F32" i="1"/>
  <c r="Q29" i="1"/>
  <c r="R29" i="1" s="1"/>
  <c r="M29" i="1"/>
  <c r="N29" i="1" s="1"/>
  <c r="I29" i="1"/>
  <c r="J29" i="1" s="1"/>
  <c r="Q28" i="1"/>
  <c r="R28" i="1" s="1"/>
  <c r="M28" i="1"/>
  <c r="N28" i="1" s="1"/>
  <c r="I28" i="1"/>
  <c r="J28" i="1" s="1"/>
  <c r="D28" i="1"/>
  <c r="F28" i="1" s="1"/>
  <c r="R26" i="1"/>
  <c r="N26" i="1"/>
  <c r="J26" i="1"/>
  <c r="Q15" i="1"/>
  <c r="R15" i="1" s="1"/>
  <c r="M15" i="1"/>
  <c r="N15" i="1" s="1"/>
  <c r="I15" i="1"/>
  <c r="J15" i="1" s="1"/>
  <c r="F15" i="1"/>
  <c r="Q14" i="1"/>
  <c r="R14" i="1" s="1"/>
  <c r="M14" i="1"/>
  <c r="N14" i="1" s="1"/>
  <c r="I14" i="1"/>
  <c r="J14" i="1" s="1"/>
  <c r="F14" i="1"/>
  <c r="Q13" i="1"/>
  <c r="R13" i="1" s="1"/>
  <c r="M13" i="1"/>
  <c r="N13" i="1" s="1"/>
  <c r="I13" i="1"/>
  <c r="J13" i="1" s="1"/>
  <c r="F13" i="1"/>
  <c r="Q11" i="1"/>
  <c r="R11" i="1" s="1"/>
  <c r="M11" i="1"/>
  <c r="N11" i="1" s="1"/>
  <c r="I11" i="1"/>
  <c r="J11" i="1" s="1"/>
  <c r="F11" i="1"/>
  <c r="Q5" i="1"/>
  <c r="R5" i="1" s="1"/>
  <c r="R6" i="1" s="1"/>
  <c r="P30" i="1" s="1"/>
  <c r="M5" i="1"/>
  <c r="N5" i="1" s="1"/>
  <c r="N6" i="1" s="1"/>
  <c r="L30" i="1" s="1"/>
  <c r="I5" i="1"/>
  <c r="J5" i="1" s="1"/>
  <c r="J6" i="1" s="1"/>
  <c r="H30" i="1" s="1"/>
  <c r="F5" i="1"/>
  <c r="F6" i="1" s="1"/>
  <c r="D30" i="1" s="1"/>
  <c r="F30" i="1" l="1"/>
  <c r="N30" i="1"/>
  <c r="N40" i="1" s="1"/>
  <c r="N45" i="1" s="1"/>
  <c r="N47" i="1" s="1"/>
  <c r="R30" i="1"/>
  <c r="R40" i="1" s="1"/>
  <c r="R45" i="1" s="1"/>
  <c r="R47" i="1" s="1"/>
  <c r="D29" i="1"/>
  <c r="F29" i="1" s="1"/>
  <c r="F40" i="1" s="1"/>
  <c r="F45" i="1" s="1"/>
  <c r="J30" i="1" l="1"/>
  <c r="J40" i="1" s="1"/>
  <c r="J45" i="1" s="1"/>
  <c r="J47" i="1" s="1"/>
  <c r="F47" i="1"/>
  <c r="E52" i="1" l="1"/>
  <c r="E58" i="1" s="1"/>
  <c r="E53" i="1"/>
  <c r="E59" i="1" s="1"/>
  <c r="E54" i="1"/>
  <c r="E60" i="1" s="1"/>
</calcChain>
</file>

<file path=xl/sharedStrings.xml><?xml version="1.0" encoding="utf-8"?>
<sst xmlns="http://schemas.openxmlformats.org/spreadsheetml/2006/main" count="112" uniqueCount="73">
  <si>
    <t>2020 Enterprise Budget</t>
  </si>
  <si>
    <t>Year 1-Establishment Year</t>
  </si>
  <si>
    <t>Year 2-First Production Year</t>
  </si>
  <si>
    <t>Year 3-Second Production Year</t>
  </si>
  <si>
    <t>Year 4-Third Production Year</t>
  </si>
  <si>
    <t>Revenues, $/Acre</t>
  </si>
  <si>
    <t>Yield Units</t>
  </si>
  <si>
    <t>Yield</t>
  </si>
  <si>
    <t>Sales Price 
Dollars Per Unit</t>
  </si>
  <si>
    <t>Gross Returns
Dollars Per Acre</t>
  </si>
  <si>
    <t>Total Revenue</t>
  </si>
  <si>
    <t>Variable Costs, $/Acre</t>
  </si>
  <si>
    <t>Input Units</t>
  </si>
  <si>
    <t>Input Quantity</t>
  </si>
  <si>
    <t>Input Price 
Dollars Per Unit</t>
  </si>
  <si>
    <t>Cost 
Dollars Per Acre</t>
  </si>
  <si>
    <t>pounds</t>
  </si>
  <si>
    <t>soil test</t>
  </si>
  <si>
    <t>feet</t>
  </si>
  <si>
    <t xml:space="preserve">  Labor</t>
  </si>
  <si>
    <t>hours</t>
  </si>
  <si>
    <t xml:space="preserve">    Fertilizer spreading</t>
  </si>
  <si>
    <t xml:space="preserve">  Interest on operating capital</t>
  </si>
  <si>
    <t>months</t>
  </si>
  <si>
    <t xml:space="preserve">  Land</t>
  </si>
  <si>
    <t>acre</t>
  </si>
  <si>
    <t xml:space="preserve">  Machinery</t>
  </si>
  <si>
    <t xml:space="preserve">      Total Costs</t>
  </si>
  <si>
    <t>Net Present Value of Net Returns</t>
  </si>
  <si>
    <t>Discount Rate</t>
  </si>
  <si>
    <t>Average Return Per Year, $/Acre</t>
  </si>
  <si>
    <t>Returns over Total Costs</t>
  </si>
  <si>
    <t>Asparagus Costs and Returns for Missouri</t>
  </si>
  <si>
    <t xml:space="preserve">  Asparagus</t>
  </si>
  <si>
    <t xml:space="preserve">  Asparagus crowns</t>
  </si>
  <si>
    <t>each</t>
  </si>
  <si>
    <t xml:space="preserve">  Custom hire</t>
  </si>
  <si>
    <t xml:space="preserve">    Soil test</t>
  </si>
  <si>
    <t xml:space="preserve">    Plowing</t>
  </si>
  <si>
    <t xml:space="preserve">    Disking</t>
  </si>
  <si>
    <t xml:space="preserve">    Harrowing</t>
  </si>
  <si>
    <t>times</t>
  </si>
  <si>
    <t xml:space="preserve">  Fertilizer/lime</t>
  </si>
  <si>
    <t xml:space="preserve">    Lime plus spreading</t>
  </si>
  <si>
    <t xml:space="preserve">    Nitrogen</t>
  </si>
  <si>
    <t xml:space="preserve">    Phosporus</t>
  </si>
  <si>
    <t xml:space="preserve">    Potassium</t>
  </si>
  <si>
    <t xml:space="preserve">  Fungicides</t>
  </si>
  <si>
    <t xml:space="preserve">  Insecticides</t>
  </si>
  <si>
    <t>ton</t>
  </si>
  <si>
    <t>pound</t>
  </si>
  <si>
    <t>poiund</t>
  </si>
  <si>
    <t xml:space="preserve">  Herbicides</t>
  </si>
  <si>
    <t xml:space="preserve">  Drip tape</t>
  </si>
  <si>
    <t xml:space="preserve">    Operator</t>
  </si>
  <si>
    <t xml:space="preserve">    Seasonal</t>
  </si>
  <si>
    <t xml:space="preserve">    Implement</t>
  </si>
  <si>
    <t xml:space="preserve">    Harvest</t>
  </si>
  <si>
    <t xml:space="preserve">  Diesel fuel</t>
  </si>
  <si>
    <t>gallon</t>
  </si>
  <si>
    <t xml:space="preserve">  Food safety inspection</t>
  </si>
  <si>
    <t xml:space="preserve">  Repairs and Maintenance</t>
  </si>
  <si>
    <t xml:space="preserve">    Tractors</t>
  </si>
  <si>
    <t xml:space="preserve">    Implements</t>
  </si>
  <si>
    <t xml:space="preserve">  Harvest/Marketing</t>
  </si>
  <si>
    <t xml:space="preserve">    Boxes (30#)</t>
  </si>
  <si>
    <t xml:space="preserve">    Bands</t>
  </si>
  <si>
    <t xml:space="preserve">    Marketing (15% of sales)</t>
  </si>
  <si>
    <t xml:space="preserve">  10 Year Stand (9 years producing)</t>
  </si>
  <si>
    <t xml:space="preserve">  15 Year Stand (13 years producing)</t>
  </si>
  <si>
    <t xml:space="preserve">  15 Year Stand (14 years producing)</t>
  </si>
  <si>
    <t>Source: Pennsylvania State University Asparagus Production (https://extension.psu.edu/asparagus-prod#section-10) Sample Asparagus Budgets.</t>
  </si>
  <si>
    <t xml:space="preserve">  Breakeven 8 Year Stand (7 years producing)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</si>
</sst>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i/>
      <sz val="11"/>
      <color theme="1"/>
      <name val="Palatino Linotype"/>
      <family val="1"/>
    </font>
    <font>
      <i/>
      <sz val="11"/>
      <color theme="1"/>
      <name val="Palatino Linotype"/>
      <family val="1"/>
    </font>
    <font>
      <sz val="9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3" fillId="2" borderId="2" xfId="0" applyFont="1" applyFill="1" applyBorder="1" applyAlignment="1">
      <alignment horizontal="centerContinuous" wrapText="1"/>
    </xf>
    <xf numFmtId="0" fontId="3" fillId="2" borderId="2" xfId="0" applyFont="1" applyFill="1" applyBorder="1" applyAlignment="1">
      <alignment horizontal="centerContinuous"/>
    </xf>
    <xf numFmtId="0" fontId="3" fillId="2" borderId="1" xfId="0" applyFont="1" applyFill="1" applyBorder="1"/>
    <xf numFmtId="0" fontId="4" fillId="2" borderId="3" xfId="0" applyFont="1" applyFill="1" applyBorder="1"/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/>
    <xf numFmtId="164" fontId="3" fillId="0" borderId="4" xfId="0" applyNumberFormat="1" applyFont="1" applyBorder="1"/>
    <xf numFmtId="165" fontId="3" fillId="0" borderId="0" xfId="0" applyNumberFormat="1" applyFont="1"/>
    <xf numFmtId="0" fontId="5" fillId="0" borderId="3" xfId="0" applyFont="1" applyBorder="1"/>
    <xf numFmtId="0" fontId="3" fillId="0" borderId="3" xfId="0" applyFont="1" applyBorder="1"/>
    <xf numFmtId="164" fontId="3" fillId="0" borderId="3" xfId="0" applyNumberFormat="1" applyFont="1" applyBorder="1"/>
    <xf numFmtId="0" fontId="4" fillId="3" borderId="3" xfId="0" applyFont="1" applyFill="1" applyBorder="1"/>
    <xf numFmtId="0" fontId="3" fillId="3" borderId="3" xfId="0" applyFont="1" applyFill="1" applyBorder="1" applyAlignment="1">
      <alignment horizontal="center" wrapText="1"/>
    </xf>
    <xf numFmtId="164" fontId="3" fillId="0" borderId="0" xfId="0" applyNumberFormat="1" applyFont="1"/>
    <xf numFmtId="2" fontId="3" fillId="0" borderId="0" xfId="0" applyNumberFormat="1" applyFont="1"/>
    <xf numFmtId="1" fontId="3" fillId="0" borderId="0" xfId="0" applyNumberFormat="1" applyFont="1"/>
    <xf numFmtId="3" fontId="3" fillId="0" borderId="0" xfId="0" applyNumberFormat="1" applyFont="1"/>
    <xf numFmtId="164" fontId="3" fillId="0" borderId="5" xfId="0" applyNumberFormat="1" applyFont="1" applyBorder="1"/>
    <xf numFmtId="0" fontId="4" fillId="0" borderId="6" xfId="0" applyFont="1" applyBorder="1"/>
    <xf numFmtId="0" fontId="3" fillId="0" borderId="6" xfId="0" applyFont="1" applyBorder="1"/>
    <xf numFmtId="164" fontId="3" fillId="0" borderId="6" xfId="0" applyNumberFormat="1" applyFont="1" applyBorder="1"/>
    <xf numFmtId="9" fontId="3" fillId="0" borderId="0" xfId="1" applyFont="1"/>
    <xf numFmtId="0" fontId="3" fillId="0" borderId="0" xfId="0" applyFont="1" applyFill="1"/>
    <xf numFmtId="2" fontId="3" fillId="0" borderId="0" xfId="0" applyNumberFormat="1" applyFont="1" applyFill="1"/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166" fontId="3" fillId="0" borderId="0" xfId="0" applyNumberFormat="1" applyFont="1"/>
    <xf numFmtId="9" fontId="3" fillId="0" borderId="0" xfId="1" applyFont="1" applyFill="1"/>
    <xf numFmtId="0" fontId="7" fillId="0" borderId="0" xfId="0" applyFont="1"/>
    <xf numFmtId="0" fontId="3" fillId="4" borderId="0" xfId="0" applyFont="1" applyFill="1"/>
    <xf numFmtId="164" fontId="3" fillId="4" borderId="0" xfId="0" applyNumberFormat="1" applyFont="1" applyFill="1"/>
    <xf numFmtId="2" fontId="3" fillId="4" borderId="0" xfId="0" applyNumberFormat="1" applyFont="1" applyFill="1"/>
    <xf numFmtId="0" fontId="6" fillId="4" borderId="0" xfId="0" applyFont="1" applyFill="1"/>
    <xf numFmtId="3" fontId="3" fillId="4" borderId="0" xfId="0" applyNumberFormat="1" applyFont="1" applyFill="1"/>
    <xf numFmtId="0" fontId="3" fillId="2" borderId="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64766-5483-41F9-BAE9-B4AA5C1DA5B3}">
  <dimension ref="B1:U60"/>
  <sheetViews>
    <sheetView showGridLines="0" tabSelected="1" workbookViewId="0">
      <selection activeCell="B1" sqref="B1"/>
    </sheetView>
  </sheetViews>
  <sheetFormatPr defaultColWidth="9.109375" defaultRowHeight="15.6" x14ac:dyDescent="0.35"/>
  <cols>
    <col min="1" max="1" width="3.21875" style="2" customWidth="1"/>
    <col min="2" max="2" width="30.88671875" style="2" customWidth="1"/>
    <col min="3" max="3" width="10.109375" style="2" bestFit="1" customWidth="1"/>
    <col min="4" max="4" width="9.33203125" style="2" customWidth="1"/>
    <col min="5" max="5" width="11.33203125" style="2" customWidth="1"/>
    <col min="6" max="6" width="10.88671875" style="2" customWidth="1"/>
    <col min="7" max="7" width="1.6640625" style="2" customWidth="1"/>
    <col min="8" max="9" width="9.33203125" style="2" customWidth="1"/>
    <col min="10" max="10" width="11.33203125" style="2" customWidth="1"/>
    <col min="11" max="11" width="1" style="2" customWidth="1"/>
    <col min="12" max="12" width="9.44140625" style="2" bestFit="1" customWidth="1"/>
    <col min="13" max="13" width="10.109375" style="2" customWidth="1"/>
    <col min="14" max="14" width="11.33203125" style="2" bestFit="1" customWidth="1"/>
    <col min="15" max="15" width="1.109375" style="2" customWidth="1"/>
    <col min="16" max="17" width="10.6640625" style="2" customWidth="1"/>
    <col min="18" max="18" width="11.33203125" style="2" bestFit="1" customWidth="1"/>
    <col min="19" max="20" width="9.109375" style="2"/>
    <col min="21" max="21" width="10.109375" style="2" bestFit="1" customWidth="1"/>
    <col min="22" max="16384" width="9.109375" style="2"/>
  </cols>
  <sheetData>
    <row r="1" spans="2:18" ht="17.399999999999999" x14ac:dyDescent="0.4">
      <c r="B1" s="1" t="s">
        <v>0</v>
      </c>
    </row>
    <row r="2" spans="2:18" ht="17.399999999999999" x14ac:dyDescent="0.4">
      <c r="B2" s="1" t="s">
        <v>32</v>
      </c>
    </row>
    <row r="3" spans="2:18" ht="19.5" customHeight="1" x14ac:dyDescent="0.4">
      <c r="B3" s="3"/>
      <c r="C3" s="3"/>
      <c r="D3" s="4" t="s">
        <v>1</v>
      </c>
      <c r="E3" s="5"/>
      <c r="F3" s="5"/>
      <c r="G3" s="6"/>
      <c r="H3" s="4" t="s">
        <v>2</v>
      </c>
      <c r="I3" s="5"/>
      <c r="J3" s="5"/>
      <c r="K3" s="6"/>
      <c r="L3" s="4" t="s">
        <v>3</v>
      </c>
      <c r="M3" s="5"/>
      <c r="N3" s="5"/>
      <c r="O3" s="6"/>
      <c r="P3" s="4" t="s">
        <v>4</v>
      </c>
      <c r="Q3" s="5"/>
      <c r="R3" s="5"/>
    </row>
    <row r="4" spans="2:18" ht="71.25" customHeight="1" thickBot="1" x14ac:dyDescent="0.4">
      <c r="B4" s="7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9"/>
      <c r="H4" s="8" t="s">
        <v>7</v>
      </c>
      <c r="I4" s="8" t="s">
        <v>8</v>
      </c>
      <c r="J4" s="8" t="s">
        <v>9</v>
      </c>
      <c r="K4" s="9"/>
      <c r="L4" s="8" t="s">
        <v>7</v>
      </c>
      <c r="M4" s="8" t="s">
        <v>8</v>
      </c>
      <c r="N4" s="8" t="s">
        <v>9</v>
      </c>
      <c r="O4" s="38"/>
      <c r="P4" s="8" t="s">
        <v>7</v>
      </c>
      <c r="Q4" s="8" t="s">
        <v>8</v>
      </c>
      <c r="R4" s="8" t="s">
        <v>9</v>
      </c>
    </row>
    <row r="5" spans="2:18" x14ac:dyDescent="0.35">
      <c r="B5" s="2" t="s">
        <v>33</v>
      </c>
      <c r="C5" s="2" t="s">
        <v>16</v>
      </c>
      <c r="D5" s="2">
        <v>0</v>
      </c>
      <c r="E5" s="26">
        <v>2.5</v>
      </c>
      <c r="F5" s="10">
        <f>D5*E5</f>
        <v>0</v>
      </c>
      <c r="H5" s="2">
        <v>500</v>
      </c>
      <c r="I5" s="2">
        <f>$E5</f>
        <v>2.5</v>
      </c>
      <c r="J5" s="10">
        <f>H5*I5</f>
        <v>1250</v>
      </c>
      <c r="L5" s="11">
        <v>1000</v>
      </c>
      <c r="M5" s="2">
        <f>$E5</f>
        <v>2.5</v>
      </c>
      <c r="N5" s="10">
        <f>L5*M5</f>
        <v>2500</v>
      </c>
      <c r="P5" s="11">
        <v>4000</v>
      </c>
      <c r="Q5" s="2">
        <f>$E5</f>
        <v>2.5</v>
      </c>
      <c r="R5" s="10">
        <f>P5*Q5</f>
        <v>10000</v>
      </c>
    </row>
    <row r="6" spans="2:18" ht="16.2" thickBot="1" x14ac:dyDescent="0.4">
      <c r="B6" s="12" t="s">
        <v>10</v>
      </c>
      <c r="C6" s="13"/>
      <c r="D6" s="13"/>
      <c r="E6" s="13"/>
      <c r="F6" s="14">
        <f>F5</f>
        <v>0</v>
      </c>
      <c r="G6" s="13"/>
      <c r="H6" s="13"/>
      <c r="I6" s="13"/>
      <c r="J6" s="14">
        <f>J5</f>
        <v>1250</v>
      </c>
      <c r="K6" s="13"/>
      <c r="L6" s="13"/>
      <c r="M6" s="13"/>
      <c r="N6" s="14">
        <f>N5</f>
        <v>2500</v>
      </c>
      <c r="O6" s="13"/>
      <c r="P6" s="13"/>
      <c r="Q6" s="13"/>
      <c r="R6" s="14">
        <f>R5</f>
        <v>10000</v>
      </c>
    </row>
    <row r="7" spans="2:18" ht="6.75" customHeight="1" x14ac:dyDescent="0.35"/>
    <row r="8" spans="2:18" x14ac:dyDescent="0.35">
      <c r="B8" s="6"/>
      <c r="C8" s="5"/>
      <c r="D8" s="4" t="s">
        <v>1</v>
      </c>
      <c r="E8" s="5"/>
      <c r="F8" s="5"/>
      <c r="G8" s="6"/>
      <c r="H8" s="4" t="s">
        <v>2</v>
      </c>
      <c r="I8" s="5"/>
      <c r="J8" s="5"/>
      <c r="K8" s="6"/>
      <c r="L8" s="4" t="s">
        <v>3</v>
      </c>
      <c r="M8" s="5"/>
      <c r="N8" s="5"/>
      <c r="O8" s="6"/>
      <c r="P8" s="4" t="s">
        <v>4</v>
      </c>
      <c r="Q8" s="5"/>
      <c r="R8" s="5"/>
    </row>
    <row r="9" spans="2:18" ht="70.5" customHeight="1" thickBot="1" x14ac:dyDescent="0.4">
      <c r="B9" s="15" t="s">
        <v>11</v>
      </c>
      <c r="C9" s="16" t="s">
        <v>12</v>
      </c>
      <c r="D9" s="16" t="s">
        <v>13</v>
      </c>
      <c r="E9" s="16" t="s">
        <v>14</v>
      </c>
      <c r="F9" s="16" t="s">
        <v>15</v>
      </c>
      <c r="H9" s="16" t="s">
        <v>13</v>
      </c>
      <c r="I9" s="16" t="s">
        <v>14</v>
      </c>
      <c r="J9" s="16" t="s">
        <v>15</v>
      </c>
      <c r="L9" s="16" t="s">
        <v>13</v>
      </c>
      <c r="M9" s="16" t="s">
        <v>14</v>
      </c>
      <c r="N9" s="16" t="s">
        <v>15</v>
      </c>
      <c r="P9" s="16" t="s">
        <v>13</v>
      </c>
      <c r="Q9" s="16" t="s">
        <v>14</v>
      </c>
      <c r="R9" s="16" t="s">
        <v>15</v>
      </c>
    </row>
    <row r="10" spans="2:18" ht="6.75" customHeight="1" x14ac:dyDescent="0.35"/>
    <row r="11" spans="2:18" x14ac:dyDescent="0.35">
      <c r="B11" s="2" t="s">
        <v>34</v>
      </c>
      <c r="C11" s="2" t="s">
        <v>35</v>
      </c>
      <c r="D11" s="2">
        <v>13000</v>
      </c>
      <c r="E11" s="26">
        <v>0.56999999999999995</v>
      </c>
      <c r="F11" s="17">
        <f t="shared" ref="F11" si="0">D11*E11</f>
        <v>7409.9999999999991</v>
      </c>
      <c r="H11" s="2">
        <v>0</v>
      </c>
      <c r="I11" s="18">
        <f>$E11</f>
        <v>0.56999999999999995</v>
      </c>
      <c r="J11" s="17">
        <f t="shared" ref="J11:J26" si="1">H11*I11</f>
        <v>0</v>
      </c>
      <c r="L11" s="2">
        <v>0</v>
      </c>
      <c r="M11" s="18">
        <f>$E11</f>
        <v>0.56999999999999995</v>
      </c>
      <c r="N11" s="17">
        <f t="shared" ref="N11:N29" si="2">L11*M11</f>
        <v>0</v>
      </c>
      <c r="P11" s="2">
        <v>0</v>
      </c>
      <c r="Q11" s="18">
        <f>$E11</f>
        <v>0.56999999999999995</v>
      </c>
      <c r="R11" s="17">
        <f t="shared" ref="R11:R26" si="3">P11*Q11</f>
        <v>0</v>
      </c>
    </row>
    <row r="12" spans="2:18" x14ac:dyDescent="0.35">
      <c r="B12" s="33" t="s">
        <v>36</v>
      </c>
      <c r="C12" s="33"/>
      <c r="D12" s="33"/>
      <c r="E12" s="33"/>
      <c r="F12" s="34"/>
      <c r="G12" s="33"/>
      <c r="H12" s="33"/>
      <c r="I12" s="35"/>
      <c r="J12" s="34"/>
      <c r="K12" s="33"/>
      <c r="L12" s="33"/>
      <c r="M12" s="35"/>
      <c r="N12" s="34"/>
      <c r="O12" s="33"/>
      <c r="P12" s="33"/>
      <c r="Q12" s="35"/>
      <c r="R12" s="34"/>
    </row>
    <row r="13" spans="2:18" x14ac:dyDescent="0.35">
      <c r="B13" s="2" t="s">
        <v>37</v>
      </c>
      <c r="C13" s="2" t="s">
        <v>17</v>
      </c>
      <c r="D13" s="2">
        <v>1</v>
      </c>
      <c r="E13" s="26">
        <v>12.5</v>
      </c>
      <c r="F13" s="17">
        <f>D13*E13</f>
        <v>12.5</v>
      </c>
      <c r="H13" s="2">
        <v>0</v>
      </c>
      <c r="I13" s="18">
        <f t="shared" ref="I13:I22" si="4">$E13</f>
        <v>12.5</v>
      </c>
      <c r="J13" s="17">
        <f t="shared" si="1"/>
        <v>0</v>
      </c>
      <c r="L13" s="2">
        <v>0</v>
      </c>
      <c r="M13" s="18">
        <f t="shared" ref="M13:M22" si="5">$E13</f>
        <v>12.5</v>
      </c>
      <c r="N13" s="17">
        <f t="shared" si="2"/>
        <v>0</v>
      </c>
      <c r="P13" s="2">
        <v>0</v>
      </c>
      <c r="Q13" s="18">
        <f t="shared" ref="Q13:Q22" si="6">$E13</f>
        <v>12.5</v>
      </c>
      <c r="R13" s="17">
        <f t="shared" si="3"/>
        <v>0</v>
      </c>
    </row>
    <row r="14" spans="2:18" x14ac:dyDescent="0.35">
      <c r="B14" s="2" t="s">
        <v>38</v>
      </c>
      <c r="C14" s="2" t="s">
        <v>25</v>
      </c>
      <c r="D14" s="2">
        <v>1</v>
      </c>
      <c r="E14" s="26">
        <v>25.2</v>
      </c>
      <c r="F14" s="17">
        <f>D14*E14</f>
        <v>25.2</v>
      </c>
      <c r="H14" s="2">
        <v>0</v>
      </c>
      <c r="I14" s="18">
        <f t="shared" si="4"/>
        <v>25.2</v>
      </c>
      <c r="J14" s="17">
        <f t="shared" si="1"/>
        <v>0</v>
      </c>
      <c r="L14" s="2">
        <v>0</v>
      </c>
      <c r="M14" s="18">
        <f t="shared" si="5"/>
        <v>25.2</v>
      </c>
      <c r="N14" s="17">
        <f t="shared" si="2"/>
        <v>0</v>
      </c>
      <c r="P14" s="2">
        <v>0</v>
      </c>
      <c r="Q14" s="18">
        <f t="shared" si="6"/>
        <v>25.2</v>
      </c>
      <c r="R14" s="17">
        <f t="shared" si="3"/>
        <v>0</v>
      </c>
    </row>
    <row r="15" spans="2:18" x14ac:dyDescent="0.35">
      <c r="B15" s="2" t="s">
        <v>39</v>
      </c>
      <c r="C15" s="2" t="s">
        <v>41</v>
      </c>
      <c r="D15" s="2">
        <v>2</v>
      </c>
      <c r="E15" s="27">
        <v>19.899999999999999</v>
      </c>
      <c r="F15" s="17">
        <f>D15*E15</f>
        <v>39.799999999999997</v>
      </c>
      <c r="H15" s="2">
        <v>0</v>
      </c>
      <c r="I15" s="18">
        <f t="shared" si="4"/>
        <v>19.899999999999999</v>
      </c>
      <c r="J15" s="17">
        <f t="shared" si="1"/>
        <v>0</v>
      </c>
      <c r="L15" s="2">
        <v>0</v>
      </c>
      <c r="M15" s="18">
        <f t="shared" si="5"/>
        <v>19.899999999999999</v>
      </c>
      <c r="N15" s="17">
        <f t="shared" si="2"/>
        <v>0</v>
      </c>
      <c r="P15" s="2">
        <v>0</v>
      </c>
      <c r="Q15" s="18">
        <f t="shared" si="6"/>
        <v>19.899999999999999</v>
      </c>
      <c r="R15" s="17">
        <f t="shared" si="3"/>
        <v>0</v>
      </c>
    </row>
    <row r="16" spans="2:18" x14ac:dyDescent="0.35">
      <c r="B16" s="2" t="s">
        <v>40</v>
      </c>
      <c r="C16" s="2" t="s">
        <v>25</v>
      </c>
      <c r="D16" s="2">
        <v>1</v>
      </c>
      <c r="E16" s="27">
        <v>14.4</v>
      </c>
      <c r="F16" s="17">
        <f>D16*E16</f>
        <v>14.4</v>
      </c>
      <c r="H16" s="2">
        <v>0</v>
      </c>
      <c r="I16" s="18">
        <f t="shared" si="4"/>
        <v>14.4</v>
      </c>
      <c r="J16" s="17">
        <f t="shared" ref="J16" si="7">H16*I16</f>
        <v>0</v>
      </c>
      <c r="L16" s="2">
        <v>0</v>
      </c>
      <c r="M16" s="18">
        <f t="shared" si="5"/>
        <v>14.4</v>
      </c>
      <c r="N16" s="17">
        <f t="shared" ref="N16" si="8">L16*M16</f>
        <v>0</v>
      </c>
      <c r="P16" s="2">
        <v>0</v>
      </c>
      <c r="Q16" s="18">
        <f t="shared" si="6"/>
        <v>14.4</v>
      </c>
      <c r="R16" s="17">
        <f t="shared" ref="R16" si="9">P16*Q16</f>
        <v>0</v>
      </c>
    </row>
    <row r="17" spans="2:21" x14ac:dyDescent="0.35">
      <c r="B17" s="2" t="s">
        <v>21</v>
      </c>
      <c r="C17" s="2" t="s">
        <v>25</v>
      </c>
      <c r="D17" s="2">
        <v>1</v>
      </c>
      <c r="E17" s="27">
        <v>8.1999999999999993</v>
      </c>
      <c r="F17" s="17">
        <f>D17*E17</f>
        <v>8.1999999999999993</v>
      </c>
      <c r="H17" s="2">
        <v>1</v>
      </c>
      <c r="I17" s="18">
        <f t="shared" si="4"/>
        <v>8.1999999999999993</v>
      </c>
      <c r="J17" s="17">
        <f t="shared" ref="J17" si="10">H17*I17</f>
        <v>8.1999999999999993</v>
      </c>
      <c r="L17" s="2">
        <v>1</v>
      </c>
      <c r="M17" s="18">
        <f t="shared" si="5"/>
        <v>8.1999999999999993</v>
      </c>
      <c r="N17" s="17">
        <f t="shared" ref="N17" si="11">L17*M17</f>
        <v>8.1999999999999993</v>
      </c>
      <c r="P17" s="2">
        <v>1</v>
      </c>
      <c r="Q17" s="18">
        <f t="shared" si="6"/>
        <v>8.1999999999999993</v>
      </c>
      <c r="R17" s="17">
        <f t="shared" ref="R17" si="12">P17*Q17</f>
        <v>8.1999999999999993</v>
      </c>
    </row>
    <row r="18" spans="2:21" x14ac:dyDescent="0.35">
      <c r="B18" s="36" t="s">
        <v>42</v>
      </c>
      <c r="C18" s="33"/>
      <c r="D18" s="33"/>
      <c r="E18" s="33"/>
      <c r="F18" s="34"/>
      <c r="G18" s="33"/>
      <c r="H18" s="33"/>
      <c r="I18" s="33"/>
      <c r="J18" s="33"/>
      <c r="K18" s="33"/>
      <c r="L18" s="33"/>
      <c r="M18" s="33"/>
      <c r="N18" s="34"/>
      <c r="O18" s="33"/>
      <c r="P18" s="33"/>
      <c r="Q18" s="33"/>
      <c r="R18" s="34"/>
    </row>
    <row r="19" spans="2:21" x14ac:dyDescent="0.35">
      <c r="B19" s="2" t="s">
        <v>43</v>
      </c>
      <c r="C19" s="2" t="s">
        <v>49</v>
      </c>
      <c r="D19" s="2">
        <v>0.5</v>
      </c>
      <c r="E19" s="26">
        <v>23</v>
      </c>
      <c r="F19" s="17">
        <f t="shared" ref="F19:F26" si="13">D19*E19</f>
        <v>11.5</v>
      </c>
      <c r="H19" s="2">
        <v>0</v>
      </c>
      <c r="I19" s="18">
        <f t="shared" si="4"/>
        <v>23</v>
      </c>
      <c r="J19" s="17">
        <f t="shared" ref="J19:J22" si="14">H19*I19</f>
        <v>0</v>
      </c>
      <c r="L19" s="2">
        <v>0</v>
      </c>
      <c r="M19" s="18">
        <f t="shared" si="5"/>
        <v>23</v>
      </c>
      <c r="N19" s="17">
        <f t="shared" ref="N19:N22" si="15">L19*M19</f>
        <v>0</v>
      </c>
      <c r="P19" s="2">
        <v>0</v>
      </c>
      <c r="Q19" s="18">
        <f t="shared" si="6"/>
        <v>23</v>
      </c>
      <c r="R19" s="17">
        <f t="shared" ref="R19:R22" si="16">P19*Q19</f>
        <v>0</v>
      </c>
    </row>
    <row r="20" spans="2:21" x14ac:dyDescent="0.35">
      <c r="B20" s="2" t="s">
        <v>44</v>
      </c>
      <c r="C20" s="2" t="s">
        <v>50</v>
      </c>
      <c r="D20" s="2">
        <v>50</v>
      </c>
      <c r="E20" s="26">
        <v>0.31</v>
      </c>
      <c r="F20" s="17">
        <f t="shared" si="13"/>
        <v>15.5</v>
      </c>
      <c r="H20" s="2">
        <v>50</v>
      </c>
      <c r="I20" s="18">
        <f t="shared" si="4"/>
        <v>0.31</v>
      </c>
      <c r="J20" s="17">
        <f t="shared" si="14"/>
        <v>15.5</v>
      </c>
      <c r="L20" s="2">
        <v>50</v>
      </c>
      <c r="M20" s="18">
        <f t="shared" si="5"/>
        <v>0.31</v>
      </c>
      <c r="N20" s="17">
        <f t="shared" si="15"/>
        <v>15.5</v>
      </c>
      <c r="P20" s="2">
        <v>50</v>
      </c>
      <c r="Q20" s="18">
        <f t="shared" si="6"/>
        <v>0.31</v>
      </c>
      <c r="R20" s="17">
        <f t="shared" si="16"/>
        <v>15.5</v>
      </c>
    </row>
    <row r="21" spans="2:21" x14ac:dyDescent="0.35">
      <c r="B21" s="2" t="s">
        <v>45</v>
      </c>
      <c r="C21" s="2" t="s">
        <v>50</v>
      </c>
      <c r="D21" s="2">
        <v>75</v>
      </c>
      <c r="E21" s="27">
        <v>0.32</v>
      </c>
      <c r="F21" s="17">
        <f t="shared" si="13"/>
        <v>24</v>
      </c>
      <c r="H21" s="2">
        <v>25</v>
      </c>
      <c r="I21" s="18">
        <f t="shared" si="4"/>
        <v>0.32</v>
      </c>
      <c r="J21" s="17">
        <f t="shared" si="14"/>
        <v>8</v>
      </c>
      <c r="L21" s="2">
        <v>25</v>
      </c>
      <c r="M21" s="18">
        <f t="shared" si="5"/>
        <v>0.32</v>
      </c>
      <c r="N21" s="17">
        <f t="shared" si="15"/>
        <v>8</v>
      </c>
      <c r="P21" s="2">
        <v>25</v>
      </c>
      <c r="Q21" s="18">
        <f t="shared" si="6"/>
        <v>0.32</v>
      </c>
      <c r="R21" s="17">
        <f t="shared" si="16"/>
        <v>8</v>
      </c>
    </row>
    <row r="22" spans="2:21" x14ac:dyDescent="0.35">
      <c r="B22" s="2" t="s">
        <v>46</v>
      </c>
      <c r="C22" s="2" t="s">
        <v>51</v>
      </c>
      <c r="D22" s="2">
        <v>150</v>
      </c>
      <c r="E22" s="27">
        <v>0.3</v>
      </c>
      <c r="F22" s="17">
        <f t="shared" si="13"/>
        <v>45</v>
      </c>
      <c r="H22" s="2">
        <v>75</v>
      </c>
      <c r="I22" s="18">
        <f t="shared" si="4"/>
        <v>0.3</v>
      </c>
      <c r="J22" s="17">
        <f t="shared" si="14"/>
        <v>22.5</v>
      </c>
      <c r="L22" s="2">
        <v>75</v>
      </c>
      <c r="M22" s="18">
        <f t="shared" si="5"/>
        <v>0.3</v>
      </c>
      <c r="N22" s="17">
        <f t="shared" si="15"/>
        <v>22.5</v>
      </c>
      <c r="P22" s="2">
        <v>75</v>
      </c>
      <c r="Q22" s="18">
        <f t="shared" si="6"/>
        <v>0.3</v>
      </c>
      <c r="R22" s="17">
        <f t="shared" si="16"/>
        <v>22.5</v>
      </c>
    </row>
    <row r="23" spans="2:21" x14ac:dyDescent="0.35">
      <c r="B23" s="2" t="s">
        <v>47</v>
      </c>
      <c r="C23" s="2" t="s">
        <v>25</v>
      </c>
      <c r="D23" s="2">
        <v>0</v>
      </c>
      <c r="E23" s="27">
        <v>0</v>
      </c>
      <c r="F23" s="17">
        <f t="shared" si="13"/>
        <v>0</v>
      </c>
      <c r="H23" s="2">
        <v>1</v>
      </c>
      <c r="I23" s="18">
        <v>86.24</v>
      </c>
      <c r="J23" s="17">
        <f t="shared" ref="J23:J25" si="17">H23*I23</f>
        <v>86.24</v>
      </c>
      <c r="L23" s="2">
        <v>1</v>
      </c>
      <c r="M23" s="18">
        <v>86.24</v>
      </c>
      <c r="N23" s="17">
        <f t="shared" ref="N23:N25" si="18">L23*M23</f>
        <v>86.24</v>
      </c>
      <c r="P23" s="2">
        <v>1</v>
      </c>
      <c r="Q23" s="18">
        <v>86.24</v>
      </c>
      <c r="R23" s="17">
        <f t="shared" ref="R23:R25" si="19">P23*Q23</f>
        <v>86.24</v>
      </c>
    </row>
    <row r="24" spans="2:21" x14ac:dyDescent="0.35">
      <c r="B24" s="2" t="s">
        <v>48</v>
      </c>
      <c r="C24" s="2" t="s">
        <v>25</v>
      </c>
      <c r="D24" s="2">
        <v>0</v>
      </c>
      <c r="E24" s="27">
        <v>0</v>
      </c>
      <c r="F24" s="17">
        <f t="shared" si="13"/>
        <v>0</v>
      </c>
      <c r="H24" s="2">
        <v>1</v>
      </c>
      <c r="I24" s="18">
        <v>57.99</v>
      </c>
      <c r="J24" s="17">
        <f t="shared" si="17"/>
        <v>57.99</v>
      </c>
      <c r="L24" s="2">
        <v>1</v>
      </c>
      <c r="M24" s="18">
        <v>38.659999999999997</v>
      </c>
      <c r="N24" s="17">
        <f t="shared" si="18"/>
        <v>38.659999999999997</v>
      </c>
      <c r="P24" s="2">
        <v>1</v>
      </c>
      <c r="Q24" s="18">
        <v>57.99</v>
      </c>
      <c r="R24" s="17">
        <f t="shared" si="19"/>
        <v>57.99</v>
      </c>
    </row>
    <row r="25" spans="2:21" x14ac:dyDescent="0.35">
      <c r="B25" s="2" t="s">
        <v>52</v>
      </c>
      <c r="C25" s="2" t="s">
        <v>25</v>
      </c>
      <c r="D25" s="2">
        <v>1</v>
      </c>
      <c r="E25" s="27">
        <v>20.61</v>
      </c>
      <c r="F25" s="17">
        <f t="shared" si="13"/>
        <v>20.61</v>
      </c>
      <c r="H25" s="2">
        <v>1</v>
      </c>
      <c r="I25" s="18">
        <v>83.23</v>
      </c>
      <c r="J25" s="17">
        <f t="shared" si="17"/>
        <v>83.23</v>
      </c>
      <c r="L25" s="2">
        <v>1</v>
      </c>
      <c r="M25" s="18">
        <v>83.23</v>
      </c>
      <c r="N25" s="17">
        <f t="shared" si="18"/>
        <v>83.23</v>
      </c>
      <c r="P25" s="2">
        <v>1</v>
      </c>
      <c r="Q25" s="18">
        <v>83.23</v>
      </c>
      <c r="R25" s="17">
        <f t="shared" si="19"/>
        <v>83.23</v>
      </c>
    </row>
    <row r="26" spans="2:21" x14ac:dyDescent="0.35">
      <c r="B26" s="2" t="s">
        <v>53</v>
      </c>
      <c r="C26" s="2" t="s">
        <v>18</v>
      </c>
      <c r="D26" s="2">
        <v>7920</v>
      </c>
      <c r="E26" s="2">
        <v>0.02</v>
      </c>
      <c r="F26" s="17">
        <f t="shared" si="13"/>
        <v>158.4</v>
      </c>
      <c r="H26" s="2">
        <v>0</v>
      </c>
      <c r="I26" s="2">
        <v>0</v>
      </c>
      <c r="J26" s="17">
        <f t="shared" si="1"/>
        <v>0</v>
      </c>
      <c r="L26" s="2">
        <v>0</v>
      </c>
      <c r="M26" s="2">
        <v>0</v>
      </c>
      <c r="N26" s="17">
        <f t="shared" si="2"/>
        <v>0</v>
      </c>
      <c r="P26" s="2">
        <v>0</v>
      </c>
      <c r="Q26" s="2">
        <v>0</v>
      </c>
      <c r="R26" s="17">
        <f t="shared" si="3"/>
        <v>0</v>
      </c>
    </row>
    <row r="27" spans="2:21" x14ac:dyDescent="0.35">
      <c r="B27" s="36" t="s">
        <v>64</v>
      </c>
      <c r="C27" s="33"/>
      <c r="D27" s="33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2:21" x14ac:dyDescent="0.35">
      <c r="B28" s="2" t="s">
        <v>65</v>
      </c>
      <c r="C28" s="2" t="s">
        <v>35</v>
      </c>
      <c r="D28" s="19">
        <f>D5*16/12</f>
        <v>0</v>
      </c>
      <c r="E28" s="27">
        <v>3.45</v>
      </c>
      <c r="F28" s="17">
        <f t="shared" ref="F28:F35" si="20">D28*E28</f>
        <v>0</v>
      </c>
      <c r="H28" s="19">
        <v>17</v>
      </c>
      <c r="I28" s="18">
        <f>$E28</f>
        <v>3.45</v>
      </c>
      <c r="J28" s="17">
        <f t="shared" ref="J28:J29" si="21">H28*I28</f>
        <v>58.650000000000006</v>
      </c>
      <c r="L28" s="19">
        <v>34</v>
      </c>
      <c r="M28" s="18">
        <f>$E28</f>
        <v>3.45</v>
      </c>
      <c r="N28" s="17">
        <f t="shared" si="2"/>
        <v>117.30000000000001</v>
      </c>
      <c r="P28" s="19">
        <v>134</v>
      </c>
      <c r="Q28" s="18">
        <f>$E28</f>
        <v>3.45</v>
      </c>
      <c r="R28" s="17">
        <f t="shared" ref="R28:R36" si="22">P28*Q28</f>
        <v>462.3</v>
      </c>
      <c r="T28" s="17"/>
      <c r="U28" s="17"/>
    </row>
    <row r="29" spans="2:21" x14ac:dyDescent="0.35">
      <c r="B29" s="2" t="s">
        <v>66</v>
      </c>
      <c r="C29" s="28">
        <v>100</v>
      </c>
      <c r="D29" s="19">
        <f>D28/12</f>
        <v>0</v>
      </c>
      <c r="E29" s="27">
        <v>1.4</v>
      </c>
      <c r="F29" s="17">
        <f t="shared" si="20"/>
        <v>0</v>
      </c>
      <c r="H29" s="19">
        <v>5</v>
      </c>
      <c r="I29" s="18">
        <f>$E29</f>
        <v>1.4</v>
      </c>
      <c r="J29" s="17">
        <f t="shared" si="21"/>
        <v>7</v>
      </c>
      <c r="L29" s="19">
        <v>10</v>
      </c>
      <c r="M29" s="18">
        <f>$E29</f>
        <v>1.4</v>
      </c>
      <c r="N29" s="17">
        <f t="shared" si="2"/>
        <v>14</v>
      </c>
      <c r="P29" s="19">
        <v>40</v>
      </c>
      <c r="Q29" s="18">
        <f>$E29</f>
        <v>1.4</v>
      </c>
      <c r="R29" s="17">
        <f t="shared" si="22"/>
        <v>56</v>
      </c>
    </row>
    <row r="30" spans="2:21" x14ac:dyDescent="0.35">
      <c r="B30" s="2" t="s">
        <v>67</v>
      </c>
      <c r="C30" s="29">
        <v>0.15</v>
      </c>
      <c r="D30" s="17">
        <f>F6</f>
        <v>0</v>
      </c>
      <c r="E30" s="31">
        <v>0.15</v>
      </c>
      <c r="F30" s="17">
        <f t="shared" ref="F30" si="23">D30*E30</f>
        <v>0</v>
      </c>
      <c r="H30" s="30">
        <f>J6</f>
        <v>1250</v>
      </c>
      <c r="I30" s="25">
        <v>0.15</v>
      </c>
      <c r="J30" s="17">
        <f t="shared" ref="J30" si="24">H30*I30</f>
        <v>187.5</v>
      </c>
      <c r="L30" s="30">
        <f>N6</f>
        <v>2500</v>
      </c>
      <c r="M30" s="25">
        <v>0.15</v>
      </c>
      <c r="N30" s="17">
        <f t="shared" ref="N30" si="25">L30*M30</f>
        <v>375</v>
      </c>
      <c r="P30" s="30">
        <f>R6</f>
        <v>10000</v>
      </c>
      <c r="Q30" s="18">
        <v>0.15</v>
      </c>
      <c r="R30" s="17">
        <f t="shared" ref="R30" si="26">P30*Q30</f>
        <v>1500</v>
      </c>
    </row>
    <row r="31" spans="2:21" x14ac:dyDescent="0.35">
      <c r="B31" s="33" t="s">
        <v>19</v>
      </c>
      <c r="C31" s="33"/>
      <c r="D31" s="33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2:21" x14ac:dyDescent="0.35">
      <c r="B32" s="2" t="s">
        <v>54</v>
      </c>
      <c r="C32" s="2" t="s">
        <v>20</v>
      </c>
      <c r="D32" s="2">
        <v>1.75</v>
      </c>
      <c r="E32" s="26">
        <v>15</v>
      </c>
      <c r="F32" s="17">
        <f t="shared" si="20"/>
        <v>26.25</v>
      </c>
      <c r="H32" s="2">
        <v>2.2999999999999998</v>
      </c>
      <c r="I32" s="2">
        <v>15</v>
      </c>
      <c r="J32" s="17">
        <f t="shared" ref="J32:J36" si="27">H32*I32</f>
        <v>34.5</v>
      </c>
      <c r="L32" s="2">
        <v>2.1</v>
      </c>
      <c r="M32" s="2">
        <v>15</v>
      </c>
      <c r="N32" s="17">
        <f t="shared" ref="N32:N36" si="28">L32*M32</f>
        <v>31.5</v>
      </c>
      <c r="P32" s="2">
        <v>2</v>
      </c>
      <c r="Q32" s="2">
        <v>15</v>
      </c>
      <c r="R32" s="17">
        <f t="shared" si="22"/>
        <v>30</v>
      </c>
    </row>
    <row r="33" spans="2:18" x14ac:dyDescent="0.35">
      <c r="B33" s="2" t="s">
        <v>55</v>
      </c>
      <c r="C33" s="2" t="s">
        <v>20</v>
      </c>
      <c r="D33" s="2">
        <v>3.4</v>
      </c>
      <c r="E33" s="26">
        <v>12.5</v>
      </c>
      <c r="F33" s="17">
        <f t="shared" si="20"/>
        <v>42.5</v>
      </c>
      <c r="H33" s="2">
        <v>0</v>
      </c>
      <c r="I33" s="2">
        <v>12.5</v>
      </c>
      <c r="J33" s="17">
        <f t="shared" si="27"/>
        <v>0</v>
      </c>
      <c r="L33" s="2">
        <v>0</v>
      </c>
      <c r="M33" s="2">
        <v>12.5</v>
      </c>
      <c r="N33" s="17">
        <f t="shared" si="28"/>
        <v>0</v>
      </c>
      <c r="P33" s="2">
        <v>0</v>
      </c>
      <c r="Q33" s="2">
        <v>12.5</v>
      </c>
      <c r="R33" s="17">
        <f t="shared" si="22"/>
        <v>0</v>
      </c>
    </row>
    <row r="34" spans="2:18" x14ac:dyDescent="0.35">
      <c r="B34" s="2" t="s">
        <v>56</v>
      </c>
      <c r="C34" s="2" t="s">
        <v>20</v>
      </c>
      <c r="D34" s="2">
        <v>0</v>
      </c>
      <c r="E34" s="26">
        <v>12.5</v>
      </c>
      <c r="F34" s="17">
        <f t="shared" si="20"/>
        <v>0</v>
      </c>
      <c r="H34" s="2">
        <v>3.4</v>
      </c>
      <c r="I34" s="2">
        <v>12.5</v>
      </c>
      <c r="J34" s="17">
        <f t="shared" si="27"/>
        <v>42.5</v>
      </c>
      <c r="L34" s="2">
        <v>3.4</v>
      </c>
      <c r="M34" s="2">
        <v>12.5</v>
      </c>
      <c r="N34" s="17">
        <f t="shared" si="28"/>
        <v>42.5</v>
      </c>
      <c r="P34" s="2">
        <v>3.4</v>
      </c>
      <c r="Q34" s="2">
        <v>12.5</v>
      </c>
      <c r="R34" s="17">
        <f t="shared" si="22"/>
        <v>42.5</v>
      </c>
    </row>
    <row r="35" spans="2:18" x14ac:dyDescent="0.35">
      <c r="B35" s="2" t="s">
        <v>57</v>
      </c>
      <c r="C35" s="2" t="s">
        <v>20</v>
      </c>
      <c r="D35" s="2">
        <v>0</v>
      </c>
      <c r="E35" s="26">
        <v>12.5</v>
      </c>
      <c r="F35" s="17">
        <f t="shared" si="20"/>
        <v>0</v>
      </c>
      <c r="H35" s="2">
        <v>21</v>
      </c>
      <c r="I35" s="2">
        <v>12.5</v>
      </c>
      <c r="J35" s="17">
        <f t="shared" si="27"/>
        <v>262.5</v>
      </c>
      <c r="L35" s="2">
        <v>56</v>
      </c>
      <c r="M35" s="2">
        <v>12.5</v>
      </c>
      <c r="N35" s="17">
        <f t="shared" si="28"/>
        <v>700</v>
      </c>
      <c r="P35" s="2">
        <v>300</v>
      </c>
      <c r="Q35" s="2">
        <v>12.5</v>
      </c>
      <c r="R35" s="17">
        <f t="shared" si="22"/>
        <v>3750</v>
      </c>
    </row>
    <row r="36" spans="2:18" x14ac:dyDescent="0.35">
      <c r="B36" s="2" t="s">
        <v>58</v>
      </c>
      <c r="C36" s="2" t="s">
        <v>59</v>
      </c>
      <c r="D36" s="2">
        <v>42</v>
      </c>
      <c r="E36" s="26">
        <v>2.6</v>
      </c>
      <c r="F36" s="17">
        <f>D36*E36</f>
        <v>109.2</v>
      </c>
      <c r="H36" s="2">
        <v>43</v>
      </c>
      <c r="I36" s="18">
        <f t="shared" ref="I36" si="29">$E36</f>
        <v>2.6</v>
      </c>
      <c r="J36" s="17">
        <f t="shared" si="27"/>
        <v>111.8</v>
      </c>
      <c r="L36" s="2">
        <v>42.3</v>
      </c>
      <c r="M36" s="18">
        <f t="shared" ref="M36" si="30">$E36</f>
        <v>2.6</v>
      </c>
      <c r="N36" s="17">
        <f t="shared" si="28"/>
        <v>109.97999999999999</v>
      </c>
      <c r="P36" s="2">
        <v>43</v>
      </c>
      <c r="Q36" s="18">
        <f t="shared" ref="Q36" si="31">$E36</f>
        <v>2.6</v>
      </c>
      <c r="R36" s="17">
        <f t="shared" si="22"/>
        <v>111.8</v>
      </c>
    </row>
    <row r="37" spans="2:18" x14ac:dyDescent="0.35">
      <c r="B37" s="33" t="s">
        <v>61</v>
      </c>
      <c r="C37" s="33"/>
      <c r="D37" s="33"/>
      <c r="E37" s="33"/>
      <c r="F37" s="34"/>
      <c r="G37" s="33"/>
      <c r="H37" s="33"/>
      <c r="I37" s="35"/>
      <c r="J37" s="34"/>
      <c r="K37" s="33"/>
      <c r="L37" s="33"/>
      <c r="M37" s="35"/>
      <c r="N37" s="34"/>
      <c r="O37" s="33"/>
      <c r="P37" s="33"/>
      <c r="Q37" s="35"/>
      <c r="R37" s="34"/>
    </row>
    <row r="38" spans="2:18" x14ac:dyDescent="0.35">
      <c r="B38" s="2" t="s">
        <v>62</v>
      </c>
      <c r="C38" s="2" t="s">
        <v>25</v>
      </c>
      <c r="D38" s="2">
        <v>1</v>
      </c>
      <c r="E38" s="26">
        <v>25.4</v>
      </c>
      <c r="F38" s="17">
        <f t="shared" ref="F38:F39" si="32">D38*E38</f>
        <v>25.4</v>
      </c>
      <c r="H38" s="2">
        <v>1</v>
      </c>
      <c r="I38" s="2">
        <v>31.58</v>
      </c>
      <c r="J38" s="17">
        <f t="shared" ref="J38:J39" si="33">H38*I38</f>
        <v>31.58</v>
      </c>
      <c r="L38" s="2">
        <v>1</v>
      </c>
      <c r="M38" s="2">
        <v>30.87</v>
      </c>
      <c r="N38" s="17">
        <f t="shared" ref="N38:N39" si="34">L38*M38</f>
        <v>30.87</v>
      </c>
      <c r="P38" s="2">
        <v>1</v>
      </c>
      <c r="Q38" s="2">
        <v>31.58</v>
      </c>
      <c r="R38" s="17">
        <f t="shared" ref="R38:R39" si="35">P38*Q38</f>
        <v>31.58</v>
      </c>
    </row>
    <row r="39" spans="2:18" x14ac:dyDescent="0.35">
      <c r="B39" s="2" t="s">
        <v>63</v>
      </c>
      <c r="C39" s="2" t="s">
        <v>25</v>
      </c>
      <c r="D39" s="2">
        <v>1</v>
      </c>
      <c r="E39" s="26">
        <v>54.29</v>
      </c>
      <c r="F39" s="17">
        <f t="shared" si="32"/>
        <v>54.29</v>
      </c>
      <c r="H39" s="2">
        <v>1</v>
      </c>
      <c r="I39" s="2">
        <v>66.83</v>
      </c>
      <c r="J39" s="17">
        <f t="shared" si="33"/>
        <v>66.83</v>
      </c>
      <c r="L39" s="2">
        <v>1</v>
      </c>
      <c r="M39" s="2">
        <v>66.39</v>
      </c>
      <c r="N39" s="17">
        <f t="shared" si="34"/>
        <v>66.39</v>
      </c>
      <c r="P39" s="2">
        <v>1</v>
      </c>
      <c r="Q39" s="2">
        <v>66.83</v>
      </c>
      <c r="R39" s="17">
        <f t="shared" si="35"/>
        <v>66.83</v>
      </c>
    </row>
    <row r="40" spans="2:18" x14ac:dyDescent="0.35">
      <c r="B40" s="2" t="s">
        <v>22</v>
      </c>
      <c r="C40" s="2" t="s">
        <v>23</v>
      </c>
      <c r="D40" s="20">
        <v>6</v>
      </c>
      <c r="E40" s="31">
        <v>0.06</v>
      </c>
      <c r="F40" s="17">
        <f>SUM(F11:F35)*E40*D40/12</f>
        <v>235.61579999999992</v>
      </c>
      <c r="H40" s="20">
        <v>6</v>
      </c>
      <c r="I40" s="25">
        <v>0.06</v>
      </c>
      <c r="J40" s="17">
        <f>(SUM(J11:J35)-J28-J29+F45)*I40*H40/12</f>
        <v>283.53737399999989</v>
      </c>
      <c r="L40" s="20">
        <v>6</v>
      </c>
      <c r="M40" s="25">
        <v>0.06</v>
      </c>
      <c r="N40" s="17">
        <f>(SUM(N11:N35)-N28-N29)*M40*L40/12</f>
        <v>42.3399</v>
      </c>
      <c r="P40" s="2">
        <v>6</v>
      </c>
      <c r="Q40" s="25">
        <v>0.06</v>
      </c>
      <c r="R40" s="17">
        <f>(SUM(R11:R35)-R28-R29)*Q40*P40/12</f>
        <v>168.12479999999999</v>
      </c>
    </row>
    <row r="41" spans="2:18" ht="6.75" customHeight="1" x14ac:dyDescent="0.35">
      <c r="B41" s="33"/>
      <c r="C41" s="33"/>
      <c r="D41" s="37"/>
      <c r="E41" s="33"/>
      <c r="F41" s="34"/>
      <c r="G41" s="33"/>
      <c r="H41" s="37"/>
      <c r="I41" s="33"/>
      <c r="J41" s="34"/>
      <c r="K41" s="33"/>
      <c r="L41" s="37"/>
      <c r="M41" s="33"/>
      <c r="N41" s="34"/>
      <c r="O41" s="33"/>
      <c r="P41" s="33"/>
      <c r="Q41" s="33"/>
      <c r="R41" s="34"/>
    </row>
    <row r="42" spans="2:18" x14ac:dyDescent="0.35">
      <c r="B42" s="2" t="s">
        <v>24</v>
      </c>
      <c r="C42" s="2" t="s">
        <v>25</v>
      </c>
      <c r="D42" s="2">
        <v>1</v>
      </c>
      <c r="E42" s="26">
        <v>151</v>
      </c>
      <c r="F42" s="17">
        <f t="shared" ref="F42:F44" si="36">D42*E42</f>
        <v>151</v>
      </c>
      <c r="H42" s="2">
        <v>1</v>
      </c>
      <c r="I42" s="2">
        <f>$E42</f>
        <v>151</v>
      </c>
      <c r="J42" s="17">
        <f t="shared" ref="J42:J44" si="37">H42*I42</f>
        <v>151</v>
      </c>
      <c r="L42" s="2">
        <v>1</v>
      </c>
      <c r="M42" s="2">
        <f>$E42</f>
        <v>151</v>
      </c>
      <c r="N42" s="17">
        <f t="shared" ref="N42:N44" si="38">L42*M42</f>
        <v>151</v>
      </c>
      <c r="P42" s="2">
        <v>1</v>
      </c>
      <c r="Q42" s="2">
        <f>$E42</f>
        <v>151</v>
      </c>
      <c r="R42" s="17">
        <f t="shared" ref="R42:R44" si="39">P42*Q42</f>
        <v>151</v>
      </c>
    </row>
    <row r="43" spans="2:18" x14ac:dyDescent="0.35">
      <c r="B43" s="2" t="s">
        <v>26</v>
      </c>
      <c r="C43" s="2" t="s">
        <v>25</v>
      </c>
      <c r="D43" s="2">
        <v>1</v>
      </c>
      <c r="E43" s="2">
        <v>213.22</v>
      </c>
      <c r="F43" s="17">
        <f t="shared" si="36"/>
        <v>213.22</v>
      </c>
      <c r="H43" s="2">
        <v>1</v>
      </c>
      <c r="I43" s="2">
        <v>219.12</v>
      </c>
      <c r="J43" s="17">
        <f t="shared" si="37"/>
        <v>219.12</v>
      </c>
      <c r="L43" s="2">
        <v>1</v>
      </c>
      <c r="M43" s="2">
        <v>216.79</v>
      </c>
      <c r="N43" s="17">
        <f t="shared" si="38"/>
        <v>216.79</v>
      </c>
      <c r="P43" s="2">
        <v>1</v>
      </c>
      <c r="Q43" s="2">
        <v>219.12</v>
      </c>
      <c r="R43" s="17">
        <f t="shared" si="39"/>
        <v>219.12</v>
      </c>
    </row>
    <row r="44" spans="2:18" x14ac:dyDescent="0.35">
      <c r="B44" s="2" t="s">
        <v>60</v>
      </c>
      <c r="C44" s="2" t="s">
        <v>25</v>
      </c>
      <c r="D44" s="2">
        <v>0</v>
      </c>
      <c r="E44" s="2">
        <v>250</v>
      </c>
      <c r="F44" s="21">
        <f t="shared" si="36"/>
        <v>0</v>
      </c>
      <c r="H44" s="2">
        <v>1</v>
      </c>
      <c r="I44" s="2">
        <v>250</v>
      </c>
      <c r="J44" s="21">
        <f t="shared" si="37"/>
        <v>250</v>
      </c>
      <c r="L44" s="2">
        <v>1</v>
      </c>
      <c r="M44" s="2">
        <v>250</v>
      </c>
      <c r="N44" s="21">
        <f t="shared" si="38"/>
        <v>250</v>
      </c>
      <c r="P44" s="2">
        <v>1</v>
      </c>
      <c r="Q44" s="2">
        <v>250</v>
      </c>
      <c r="R44" s="21">
        <f t="shared" si="39"/>
        <v>250</v>
      </c>
    </row>
    <row r="45" spans="2:18" ht="16.2" thickBot="1" x14ac:dyDescent="0.4">
      <c r="B45" s="13" t="s">
        <v>27</v>
      </c>
      <c r="C45" s="13"/>
      <c r="D45" s="13"/>
      <c r="E45" s="13"/>
      <c r="F45" s="14">
        <f>SUM(F11:F44)</f>
        <v>8642.5857999999971</v>
      </c>
      <c r="G45" s="13"/>
      <c r="H45" s="13"/>
      <c r="I45" s="13"/>
      <c r="J45" s="14">
        <f>SUM(J11:J44)</f>
        <v>1988.1773739999999</v>
      </c>
      <c r="K45" s="13"/>
      <c r="L45" s="13"/>
      <c r="M45" s="13"/>
      <c r="N45" s="14">
        <f>SUM(N11:N44)</f>
        <v>2409.9999000000003</v>
      </c>
      <c r="O45" s="13"/>
      <c r="P45" s="13"/>
      <c r="Q45" s="13"/>
      <c r="R45" s="14">
        <f>SUM(R11:R44)</f>
        <v>7120.9147999999996</v>
      </c>
    </row>
    <row r="46" spans="2:18" ht="6.75" customHeight="1" x14ac:dyDescent="0.35">
      <c r="F46" s="17"/>
    </row>
    <row r="47" spans="2:18" ht="16.2" thickBot="1" x14ac:dyDescent="0.4">
      <c r="B47" s="22" t="s">
        <v>31</v>
      </c>
      <c r="C47" s="23"/>
      <c r="D47" s="23"/>
      <c r="E47" s="23"/>
      <c r="F47" s="24">
        <f>F6-F45</f>
        <v>-8642.5857999999971</v>
      </c>
      <c r="G47" s="23"/>
      <c r="H47" s="23"/>
      <c r="I47" s="23"/>
      <c r="J47" s="24">
        <f>J6-J45</f>
        <v>-738.17737399999987</v>
      </c>
      <c r="K47" s="23"/>
      <c r="L47" s="23"/>
      <c r="M47" s="23"/>
      <c r="N47" s="24">
        <f>N6-N45</f>
        <v>90.000099999999748</v>
      </c>
      <c r="O47" s="23"/>
      <c r="P47" s="23"/>
      <c r="Q47" s="23"/>
      <c r="R47" s="24">
        <f>R6-R45</f>
        <v>2879.0852000000004</v>
      </c>
    </row>
    <row r="48" spans="2:18" ht="13.5" customHeight="1" thickTop="1" x14ac:dyDescent="0.35">
      <c r="B48" s="32" t="s">
        <v>71</v>
      </c>
    </row>
    <row r="51" spans="2:5" x14ac:dyDescent="0.35">
      <c r="B51" s="2" t="s">
        <v>28</v>
      </c>
    </row>
    <row r="52" spans="2:5" x14ac:dyDescent="0.35">
      <c r="B52" s="2" t="s">
        <v>72</v>
      </c>
      <c r="E52" s="17">
        <f>(F47+J47/(1+C55)+N47/((1+C55)^2)+R47/((1+C55)^3)+R47/(1+C55)^4+R47/(1+C55)^5+R47/(1+C55)^6+R47/(1+C55)^7)</f>
        <v>1534.7783114259703</v>
      </c>
    </row>
    <row r="53" spans="2:5" x14ac:dyDescent="0.35">
      <c r="B53" s="2" t="s">
        <v>68</v>
      </c>
      <c r="E53" s="17">
        <f>(F47+J47/(1+C55)+N47/((1+C55)^2)+R47/((1+C55)^3)+R47/(1+C55)^4+R47/(1+C55)^5+R47/(1+C55)^6+R47/(1+C55)^7+R47/(1+C55)^8++R47/(1+C55)^9)</f>
        <v>5045.2780903051626</v>
      </c>
    </row>
    <row r="54" spans="2:5" x14ac:dyDescent="0.35">
      <c r="B54" s="2" t="s">
        <v>69</v>
      </c>
      <c r="E54" s="17">
        <f>(F47+J47/(1+C55)+N47/((1+C55)^2)+R47/((1+C55)^3)+R47/(1+C55)^4+R47/(1+C55)^5+R47/(1+C55)^6+R47/(1+C55)^7+R47/(1+C55)^8+R47/(1+C55)^9+R47/(1+C55)^10+R47/(1+C55)^11+R47/(1+C55)^12+R47/(1+C55)^13+R47/(1+C55)^14)</f>
        <v>12223.677186318344</v>
      </c>
    </row>
    <row r="55" spans="2:5" x14ac:dyDescent="0.35">
      <c r="B55" s="2" t="s">
        <v>29</v>
      </c>
      <c r="C55" s="25">
        <v>0.06</v>
      </c>
    </row>
    <row r="56" spans="2:5" x14ac:dyDescent="0.35">
      <c r="C56" s="25"/>
    </row>
    <row r="57" spans="2:5" x14ac:dyDescent="0.35">
      <c r="B57" s="2" t="s">
        <v>30</v>
      </c>
      <c r="C57" s="25"/>
    </row>
    <row r="58" spans="2:5" x14ac:dyDescent="0.35">
      <c r="B58" s="2" t="s">
        <v>72</v>
      </c>
      <c r="C58" s="25"/>
      <c r="E58" s="17">
        <f>E52/8</f>
        <v>191.84728892824629</v>
      </c>
    </row>
    <row r="59" spans="2:5" x14ac:dyDescent="0.35">
      <c r="B59" s="2" t="s">
        <v>68</v>
      </c>
      <c r="E59" s="17">
        <f>E53/10</f>
        <v>504.52780903051627</v>
      </c>
    </row>
    <row r="60" spans="2:5" x14ac:dyDescent="0.35">
      <c r="B60" s="2" t="s">
        <v>70</v>
      </c>
      <c r="E60" s="17">
        <f>E54/15</f>
        <v>814.91181242122298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Kruse</dc:creator>
  <cp:lastModifiedBy>Jackson, Lauren</cp:lastModifiedBy>
  <dcterms:created xsi:type="dcterms:W3CDTF">2020-07-30T17:48:44Z</dcterms:created>
  <dcterms:modified xsi:type="dcterms:W3CDTF">2021-03-31T20:03:00Z</dcterms:modified>
</cp:coreProperties>
</file>